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L:\_FIRMY\Gevorkyan CZ\ZÁVĚRKA\2024-06-30\"/>
    </mc:Choice>
  </mc:AlternateContent>
  <xr:revisionPtr revIDLastSave="0" documentId="13_ncr:1_{DE52815A-FB6D-4006-BE46-7646D365DCDC}" xr6:coauthVersionLast="47" xr6:coauthVersionMax="47" xr10:uidLastSave="{00000000-0000-0000-0000-000000000000}"/>
  <bookViews>
    <workbookView xWindow="-108" yWindow="-108" windowWidth="23256" windowHeight="12576" tabRatio="837" xr2:uid="{81B11888-1C3A-4E40-BC17-7E632887968A}"/>
  </bookViews>
  <sheets>
    <sheet name="TB IFRS" sheetId="13" r:id="rId1"/>
    <sheet name="jb IFRS" sheetId="14" r:id="rId2"/>
    <sheet name="TB CAS" sheetId="18" r:id="rId3"/>
    <sheet name="jb CAS" sheetId="17" r:id="rId4"/>
    <sheet name="pomocné =&gt;" sheetId="19" r:id="rId5"/>
    <sheet name="067" sheetId="12" r:id="rId6"/>
    <sheet name="půjčka výpočet" sheetId="24" r:id="rId7"/>
    <sheet name="473-SB" sheetId="1" r:id="rId8"/>
    <sheet name="379000" sheetId="15" r:id="rId9"/>
    <sheet name="dppo" sheetId="16" r:id="rId10"/>
    <sheet name="389" sheetId="26" r:id="rId11"/>
    <sheet name="přecenění IFRS" sheetId="4" r:id="rId12"/>
    <sheet name="přecenění CAS" sheetId="6" r:id="rId13"/>
    <sheet name="ČR CAS" sheetId="25" r:id="rId14"/>
    <sheet name="SOCI" sheetId="20" r:id="rId15"/>
    <sheet name="SOFP" sheetId="21" r:id="rId16"/>
    <sheet name="SOCE" sheetId="22" r:id="rId17"/>
    <sheet name="CF" sheetId="23" r:id="rId18"/>
    <sheet name="příloha" sheetId="7" r:id="rId19"/>
    <sheet name="sml.PT_výpočet" sheetId="8" r:id="rId20"/>
    <sheet name="kurzy ČNB" sheetId="9" r:id="rId21"/>
  </sheets>
  <externalReferences>
    <externalReference r:id="rId22"/>
  </externalReferences>
  <definedNames>
    <definedName name="_xlnm._FilterDatabase" localSheetId="8" hidden="1">'379000'!$A$1:$AB$42</definedName>
    <definedName name="_xlnm._FilterDatabase" localSheetId="3" hidden="1">'jb CAS'!$B$2:$Z$223</definedName>
    <definedName name="_xlnm._FilterDatabase" localSheetId="1" hidden="1">'jb IFRS'!$A$2:$AC$333</definedName>
    <definedName name="_xlnm._FilterDatabase" localSheetId="20" hidden="1">'kurzy ČNB'!$A$3:$B$259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24" l="1"/>
  <c r="P21" i="24"/>
  <c r="J24" i="16"/>
  <c r="N16" i="16"/>
  <c r="N9" i="16"/>
  <c r="N7" i="16"/>
  <c r="N5" i="16"/>
  <c r="C34" i="16"/>
  <c r="C19" i="23"/>
  <c r="D24" i="23"/>
  <c r="D22" i="23"/>
  <c r="C6" i="22"/>
  <c r="A3" i="22"/>
  <c r="E5" i="13" l="1"/>
  <c r="F5" i="13"/>
  <c r="E6" i="13"/>
  <c r="F6" i="13"/>
  <c r="E8" i="13"/>
  <c r="F8" i="13"/>
  <c r="F11" i="13"/>
  <c r="E12" i="13"/>
  <c r="F12" i="13"/>
  <c r="E13" i="13"/>
  <c r="E14" i="13"/>
  <c r="F14" i="13"/>
  <c r="E15" i="13"/>
  <c r="E16" i="13"/>
  <c r="F16" i="13"/>
  <c r="E17" i="13"/>
  <c r="F17" i="13"/>
  <c r="E18" i="13"/>
  <c r="F18" i="13"/>
  <c r="E19" i="13"/>
  <c r="F19" i="13"/>
  <c r="E20" i="13"/>
  <c r="F20" i="13"/>
  <c r="E21" i="13"/>
  <c r="E22" i="13"/>
  <c r="F22" i="13"/>
  <c r="E23" i="13"/>
  <c r="F23" i="13"/>
  <c r="E24" i="13"/>
  <c r="E25" i="13"/>
  <c r="F25" i="13"/>
  <c r="F26" i="13"/>
  <c r="F27" i="13"/>
  <c r="F28" i="13"/>
  <c r="E29" i="13"/>
  <c r="F29" i="13"/>
  <c r="E30" i="13"/>
  <c r="F30" i="13"/>
  <c r="E31" i="13"/>
  <c r="F31" i="13"/>
  <c r="E32" i="13"/>
  <c r="F32" i="13"/>
  <c r="F33" i="13"/>
  <c r="F34" i="13"/>
  <c r="F35" i="13"/>
  <c r="F36" i="13"/>
  <c r="F37" i="13"/>
  <c r="E38" i="13"/>
  <c r="E39" i="13"/>
  <c r="F4" i="13"/>
  <c r="C25" i="4"/>
  <c r="A178" i="14"/>
  <c r="B178" i="14" s="1"/>
  <c r="A179" i="14"/>
  <c r="B179" i="14" s="1"/>
  <c r="A180" i="14"/>
  <c r="B180" i="14" s="1"/>
  <c r="A181" i="14"/>
  <c r="B181" i="14" s="1"/>
  <c r="A182" i="14"/>
  <c r="B182" i="14" s="1"/>
  <c r="A183" i="14"/>
  <c r="B183" i="14" s="1"/>
  <c r="G13" i="16"/>
  <c r="G12" i="16"/>
  <c r="G9" i="16"/>
  <c r="G7" i="16"/>
  <c r="E40" i="18"/>
  <c r="D40" i="18"/>
  <c r="H40" i="18"/>
  <c r="H5" i="18"/>
  <c r="I5" i="18"/>
  <c r="H6" i="18"/>
  <c r="I6" i="18"/>
  <c r="H7" i="18"/>
  <c r="I7" i="18"/>
  <c r="H8" i="18"/>
  <c r="I8" i="18"/>
  <c r="H9" i="18"/>
  <c r="I9" i="18"/>
  <c r="H10" i="18"/>
  <c r="I10" i="18"/>
  <c r="H11" i="18"/>
  <c r="I11" i="18"/>
  <c r="H12" i="18"/>
  <c r="I12" i="18"/>
  <c r="H13" i="18"/>
  <c r="I13" i="18"/>
  <c r="H14" i="18"/>
  <c r="I14" i="18"/>
  <c r="H15" i="18"/>
  <c r="I15" i="18"/>
  <c r="H16" i="18"/>
  <c r="I16" i="18"/>
  <c r="H17" i="18"/>
  <c r="I17" i="18"/>
  <c r="H18" i="18"/>
  <c r="I18" i="18"/>
  <c r="H19" i="18"/>
  <c r="I19" i="18"/>
  <c r="H20" i="18"/>
  <c r="I20" i="18"/>
  <c r="H21" i="18"/>
  <c r="I21" i="18"/>
  <c r="H22" i="18"/>
  <c r="I22" i="18"/>
  <c r="H23" i="18"/>
  <c r="I23" i="18"/>
  <c r="H24" i="18"/>
  <c r="I24" i="18"/>
  <c r="H25" i="18"/>
  <c r="I25" i="18"/>
  <c r="H26" i="18"/>
  <c r="I26" i="18"/>
  <c r="H27" i="18"/>
  <c r="I27" i="18"/>
  <c r="H28" i="18"/>
  <c r="I28" i="18"/>
  <c r="H29" i="18"/>
  <c r="I29" i="18"/>
  <c r="H30" i="18"/>
  <c r="I30" i="18"/>
  <c r="H31" i="18"/>
  <c r="I31" i="18"/>
  <c r="H32" i="18"/>
  <c r="I32" i="18"/>
  <c r="H33" i="18"/>
  <c r="I33" i="18"/>
  <c r="H34" i="18"/>
  <c r="I34" i="18"/>
  <c r="H35" i="18"/>
  <c r="I35" i="18"/>
  <c r="H36" i="18"/>
  <c r="I36" i="18"/>
  <c r="H37" i="18"/>
  <c r="I37" i="18"/>
  <c r="H38" i="18"/>
  <c r="I38" i="18"/>
  <c r="H39" i="18"/>
  <c r="I39" i="18"/>
  <c r="I4" i="18"/>
  <c r="H4" i="18"/>
  <c r="G40" i="18"/>
  <c r="F40" i="18"/>
  <c r="L38" i="13"/>
  <c r="L33" i="13"/>
  <c r="L21" i="13"/>
  <c r="A176" i="14"/>
  <c r="B176" i="14" s="1"/>
  <c r="C176" i="14"/>
  <c r="A177" i="14"/>
  <c r="B177" i="14" s="1"/>
  <c r="C177" i="14"/>
  <c r="A174" i="14"/>
  <c r="B174" i="14" s="1"/>
  <c r="C174" i="14"/>
  <c r="F10" i="13" s="1"/>
  <c r="A175" i="14"/>
  <c r="B175" i="14" s="1"/>
  <c r="C175" i="14"/>
  <c r="E36" i="13" s="1"/>
  <c r="A171" i="14"/>
  <c r="B171" i="14" s="1"/>
  <c r="A172" i="14"/>
  <c r="B172" i="14" s="1"/>
  <c r="A173" i="14"/>
  <c r="B173" i="14" s="1"/>
  <c r="I40" i="18" l="1"/>
  <c r="J5" i="18"/>
  <c r="Q5" i="18" s="1"/>
  <c r="J6" i="18"/>
  <c r="Q6" i="18" s="1"/>
  <c r="J7" i="18"/>
  <c r="Q7" i="18" s="1"/>
  <c r="J8" i="18"/>
  <c r="Q8" i="18" s="1"/>
  <c r="J9" i="18"/>
  <c r="Q9" i="18" s="1"/>
  <c r="J10" i="18"/>
  <c r="Q10" i="18" s="1"/>
  <c r="J11" i="18"/>
  <c r="Q11" i="18" s="1"/>
  <c r="J12" i="18"/>
  <c r="Q12" i="18" s="1"/>
  <c r="J13" i="18"/>
  <c r="Q13" i="18" s="1"/>
  <c r="J14" i="18"/>
  <c r="Q14" i="18" s="1"/>
  <c r="J15" i="18"/>
  <c r="Q15" i="18" s="1"/>
  <c r="J16" i="18"/>
  <c r="Q16" i="18" s="1"/>
  <c r="J17" i="18"/>
  <c r="Q17" i="18" s="1"/>
  <c r="J18" i="18"/>
  <c r="Q18" i="18" s="1"/>
  <c r="J19" i="18"/>
  <c r="Q19" i="18" s="1"/>
  <c r="J20" i="18"/>
  <c r="Q20" i="18" s="1"/>
  <c r="J21" i="18"/>
  <c r="Q21" i="18" s="1"/>
  <c r="J22" i="18"/>
  <c r="Q22" i="18" s="1"/>
  <c r="J23" i="18"/>
  <c r="Q23" i="18" s="1"/>
  <c r="J24" i="18"/>
  <c r="Q24" i="18" s="1"/>
  <c r="J25" i="18"/>
  <c r="Q25" i="18" s="1"/>
  <c r="J26" i="18"/>
  <c r="Q26" i="18" s="1"/>
  <c r="J27" i="18"/>
  <c r="Q27" i="18" s="1"/>
  <c r="J28" i="18"/>
  <c r="Q28" i="18" s="1"/>
  <c r="J29" i="18"/>
  <c r="Q29" i="18" s="1"/>
  <c r="J30" i="18"/>
  <c r="Q30" i="18" s="1"/>
  <c r="J31" i="18"/>
  <c r="Q31" i="18" s="1"/>
  <c r="J32" i="18"/>
  <c r="Q32" i="18" s="1"/>
  <c r="J33" i="18"/>
  <c r="Q33" i="18" s="1"/>
  <c r="AF96" i="12" l="1"/>
  <c r="AI60" i="12"/>
  <c r="AI59" i="12"/>
  <c r="C27" i="23" l="1"/>
  <c r="A3" i="21"/>
  <c r="H32" i="13" l="1"/>
  <c r="G5" i="13"/>
  <c r="H5" i="13"/>
  <c r="G32" i="13"/>
  <c r="AH59" i="12"/>
  <c r="J32" i="13" l="1"/>
  <c r="J5" i="13"/>
  <c r="M5" i="18" s="1"/>
  <c r="N5" i="18" s="1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C11" i="20" l="1"/>
  <c r="C10" i="23" s="1"/>
  <c r="M32" i="18"/>
  <c r="N32" i="18" s="1"/>
  <c r="A5" i="4"/>
  <c r="B5" i="4" s="1"/>
  <c r="C5" i="4" s="1"/>
  <c r="AD95" i="12"/>
  <c r="AA95" i="12"/>
  <c r="S95" i="12"/>
  <c r="P95" i="12"/>
  <c r="F95" i="12"/>
  <c r="C95" i="12"/>
  <c r="S94" i="12"/>
  <c r="F94" i="12"/>
  <c r="C94" i="12"/>
  <c r="AD93" i="12"/>
  <c r="AA93" i="12"/>
  <c r="S93" i="12"/>
  <c r="P93" i="12"/>
  <c r="F93" i="12"/>
  <c r="C93" i="12"/>
  <c r="AA92" i="12"/>
  <c r="P92" i="12"/>
  <c r="F92" i="12"/>
  <c r="C92" i="12"/>
  <c r="AD91" i="12"/>
  <c r="AA91" i="12"/>
  <c r="S91" i="12"/>
  <c r="P91" i="12"/>
  <c r="F91" i="12"/>
  <c r="C91" i="12"/>
  <c r="AD90" i="12"/>
  <c r="AA90" i="12"/>
  <c r="S90" i="12"/>
  <c r="P90" i="12"/>
  <c r="F90" i="12"/>
  <c r="C90" i="12"/>
  <c r="AA89" i="12"/>
  <c r="P89" i="12"/>
  <c r="F89" i="12"/>
  <c r="C89" i="12"/>
  <c r="AD88" i="12"/>
  <c r="AA88" i="12"/>
  <c r="S88" i="12"/>
  <c r="P88" i="12"/>
  <c r="F88" i="12"/>
  <c r="C88" i="12"/>
  <c r="AD87" i="12"/>
  <c r="AA87" i="12"/>
  <c r="S87" i="12"/>
  <c r="P87" i="12"/>
  <c r="F87" i="12"/>
  <c r="C87" i="12"/>
  <c r="AA86" i="12"/>
  <c r="P86" i="12"/>
  <c r="F86" i="12"/>
  <c r="C86" i="12"/>
  <c r="AD85" i="12"/>
  <c r="AA85" i="12"/>
  <c r="S85" i="12"/>
  <c r="P85" i="12"/>
  <c r="F85" i="12"/>
  <c r="C85" i="12"/>
  <c r="AD84" i="12"/>
  <c r="AA84" i="12"/>
  <c r="S84" i="12"/>
  <c r="P84" i="12"/>
  <c r="F84" i="12"/>
  <c r="C84" i="12"/>
  <c r="AD83" i="12"/>
  <c r="AA83" i="12"/>
  <c r="S83" i="12"/>
  <c r="P83" i="12"/>
  <c r="F83" i="12"/>
  <c r="D83" i="12"/>
  <c r="C83" i="12"/>
  <c r="AD82" i="12"/>
  <c r="AA82" i="12"/>
  <c r="P82" i="12"/>
  <c r="F82" i="12"/>
  <c r="C82" i="12"/>
  <c r="AD81" i="12"/>
  <c r="AA81" i="12"/>
  <c r="S81" i="12"/>
  <c r="Q81" i="12"/>
  <c r="P81" i="12"/>
  <c r="F81" i="12"/>
  <c r="C81" i="12"/>
  <c r="AD80" i="12"/>
  <c r="AA80" i="12"/>
  <c r="S80" i="12"/>
  <c r="P80" i="12"/>
  <c r="F80" i="12"/>
  <c r="D80" i="12"/>
  <c r="C80" i="12"/>
  <c r="AD79" i="12"/>
  <c r="AA79" i="12"/>
  <c r="S79" i="12"/>
  <c r="P79" i="12"/>
  <c r="F79" i="12"/>
  <c r="C79" i="12"/>
  <c r="AD78" i="12"/>
  <c r="AB78" i="12"/>
  <c r="AA78" i="12"/>
  <c r="S78" i="12"/>
  <c r="P78" i="12"/>
  <c r="F78" i="12"/>
  <c r="C78" i="12"/>
  <c r="AA77" i="12"/>
  <c r="P77" i="12"/>
  <c r="F77" i="12"/>
  <c r="C77" i="12"/>
  <c r="AD76" i="12"/>
  <c r="AA76" i="12"/>
  <c r="S76" i="12"/>
  <c r="P76" i="12"/>
  <c r="F76" i="12"/>
  <c r="C76" i="12"/>
  <c r="AD75" i="12"/>
  <c r="AA75" i="12"/>
  <c r="S75" i="12"/>
  <c r="P75" i="12"/>
  <c r="F75" i="12"/>
  <c r="C75" i="12"/>
  <c r="AB74" i="12"/>
  <c r="AA74" i="12"/>
  <c r="P74" i="12"/>
  <c r="F74" i="12"/>
  <c r="C74" i="12"/>
  <c r="AD73" i="12"/>
  <c r="AA73" i="12"/>
  <c r="S73" i="12"/>
  <c r="P73" i="12"/>
  <c r="Q73" i="12" s="1"/>
  <c r="F73" i="12"/>
  <c r="C73" i="12"/>
  <c r="AD72" i="12"/>
  <c r="AA72" i="12"/>
  <c r="S72" i="12"/>
  <c r="P72" i="12"/>
  <c r="F72" i="12"/>
  <c r="C72" i="12"/>
  <c r="AD71" i="12"/>
  <c r="AB71" i="12"/>
  <c r="AA71" i="12"/>
  <c r="S71" i="12"/>
  <c r="P71" i="12"/>
  <c r="F71" i="12"/>
  <c r="C71" i="12"/>
  <c r="AD70" i="12"/>
  <c r="AA70" i="12"/>
  <c r="S70" i="12"/>
  <c r="P70" i="12"/>
  <c r="F70" i="12"/>
  <c r="C70" i="12"/>
  <c r="AA69" i="12"/>
  <c r="P69" i="12"/>
  <c r="F69" i="12"/>
  <c r="C69" i="12"/>
  <c r="AD68" i="12"/>
  <c r="AA68" i="12"/>
  <c r="S68" i="12"/>
  <c r="P68" i="12"/>
  <c r="F68" i="12"/>
  <c r="C68" i="12"/>
  <c r="AD67" i="12"/>
  <c r="AA67" i="12"/>
  <c r="S67" i="12"/>
  <c r="P67" i="12"/>
  <c r="F67" i="12"/>
  <c r="D67" i="12"/>
  <c r="C67" i="12"/>
  <c r="AD66" i="12"/>
  <c r="AA66" i="12"/>
  <c r="S66" i="12"/>
  <c r="P66" i="12"/>
  <c r="Q66" i="12" s="1"/>
  <c r="F66" i="12"/>
  <c r="C66" i="12"/>
  <c r="AA65" i="12"/>
  <c r="P65" i="12"/>
  <c r="F65" i="12"/>
  <c r="C65" i="12"/>
  <c r="AD64" i="12"/>
  <c r="AB64" i="12"/>
  <c r="AA64" i="12"/>
  <c r="S64" i="12"/>
  <c r="P64" i="12"/>
  <c r="F64" i="12"/>
  <c r="C64" i="12"/>
  <c r="AD63" i="12"/>
  <c r="AB63" i="12"/>
  <c r="AA63" i="12"/>
  <c r="S63" i="12"/>
  <c r="P63" i="12"/>
  <c r="F63" i="12"/>
  <c r="D63" i="12"/>
  <c r="C63" i="12"/>
  <c r="AA62" i="12"/>
  <c r="Q62" i="12"/>
  <c r="P62" i="12"/>
  <c r="F62" i="12"/>
  <c r="C62" i="12"/>
  <c r="AD61" i="12"/>
  <c r="S61" i="12"/>
  <c r="F61" i="12"/>
  <c r="C61" i="12"/>
  <c r="AD60" i="12"/>
  <c r="AB60" i="12"/>
  <c r="AA60" i="12"/>
  <c r="S60" i="12"/>
  <c r="P60" i="12"/>
  <c r="F60" i="12"/>
  <c r="C60" i="12"/>
  <c r="AA59" i="12"/>
  <c r="S59" i="12"/>
  <c r="Q59" i="12"/>
  <c r="P59" i="12"/>
  <c r="F59" i="12"/>
  <c r="C59" i="12"/>
  <c r="AA58" i="12"/>
  <c r="P58" i="12"/>
  <c r="Q58" i="12" s="1"/>
  <c r="F58" i="12"/>
  <c r="C58" i="12"/>
  <c r="AD57" i="12"/>
  <c r="AA57" i="12"/>
  <c r="S57" i="12"/>
  <c r="P57" i="12"/>
  <c r="Q57" i="12" s="1"/>
  <c r="F57" i="12"/>
  <c r="C57" i="12"/>
  <c r="AD56" i="12"/>
  <c r="AA56" i="12"/>
  <c r="S56" i="12"/>
  <c r="P56" i="12"/>
  <c r="F56" i="12"/>
  <c r="C56" i="12"/>
  <c r="AD55" i="12"/>
  <c r="AA55" i="12"/>
  <c r="S55" i="12"/>
  <c r="P55" i="12"/>
  <c r="F55" i="12"/>
  <c r="C55" i="12"/>
  <c r="AD54" i="12"/>
  <c r="AA54" i="12"/>
  <c r="S54" i="12"/>
  <c r="P54" i="12"/>
  <c r="F54" i="12"/>
  <c r="D54" i="12"/>
  <c r="C54" i="12"/>
  <c r="AA53" i="12"/>
  <c r="Q53" i="12"/>
  <c r="P53" i="12"/>
  <c r="F53" i="12"/>
  <c r="C53" i="12"/>
  <c r="AD52" i="12"/>
  <c r="AA52" i="12"/>
  <c r="S52" i="12"/>
  <c r="P52" i="12"/>
  <c r="F52" i="12"/>
  <c r="C52" i="12"/>
  <c r="AD51" i="12"/>
  <c r="AA51" i="12"/>
  <c r="S51" i="12"/>
  <c r="P51" i="12"/>
  <c r="F51" i="12"/>
  <c r="C51" i="12"/>
  <c r="AA50" i="12"/>
  <c r="P50" i="12"/>
  <c r="F50" i="12"/>
  <c r="C50" i="12"/>
  <c r="AD49" i="12"/>
  <c r="AA49" i="12"/>
  <c r="S49" i="12"/>
  <c r="P49" i="12"/>
  <c r="F49" i="12"/>
  <c r="D49" i="12"/>
  <c r="C49" i="12"/>
  <c r="AD48" i="12"/>
  <c r="AA48" i="12"/>
  <c r="S48" i="12"/>
  <c r="Q48" i="12"/>
  <c r="P48" i="12"/>
  <c r="F48" i="12"/>
  <c r="C48" i="12"/>
  <c r="AA47" i="12"/>
  <c r="P47" i="12"/>
  <c r="F47" i="12"/>
  <c r="C47" i="12"/>
  <c r="AA46" i="12"/>
  <c r="P46" i="12"/>
  <c r="F46" i="12"/>
  <c r="C46" i="12"/>
  <c r="AD45" i="12"/>
  <c r="AA45" i="12"/>
  <c r="S45" i="12"/>
  <c r="P45" i="12"/>
  <c r="F45" i="12"/>
  <c r="C45" i="12"/>
  <c r="AD44" i="12"/>
  <c r="AA44" i="12"/>
  <c r="S44" i="12"/>
  <c r="P44" i="12"/>
  <c r="F44" i="12"/>
  <c r="C44" i="12"/>
  <c r="AD43" i="12"/>
  <c r="AA43" i="12"/>
  <c r="S43" i="12"/>
  <c r="P43" i="12"/>
  <c r="F43" i="12"/>
  <c r="C43" i="12"/>
  <c r="AD42" i="12"/>
  <c r="AA42" i="12"/>
  <c r="S42" i="12"/>
  <c r="P42" i="12"/>
  <c r="F42" i="12"/>
  <c r="D42" i="12"/>
  <c r="C42" i="12"/>
  <c r="AD41" i="12"/>
  <c r="AA41" i="12"/>
  <c r="W41" i="12"/>
  <c r="W47" i="12" s="1"/>
  <c r="P41" i="12"/>
  <c r="F41" i="12"/>
  <c r="C41" i="12"/>
  <c r="AD40" i="12"/>
  <c r="AA40" i="12"/>
  <c r="P40" i="12"/>
  <c r="F40" i="12"/>
  <c r="D40" i="12"/>
  <c r="C40" i="12"/>
  <c r="AD39" i="12"/>
  <c r="AA39" i="12"/>
  <c r="P39" i="12"/>
  <c r="F39" i="12"/>
  <c r="C39" i="12"/>
  <c r="AD38" i="12"/>
  <c r="AA38" i="12"/>
  <c r="P38" i="12"/>
  <c r="F38" i="12"/>
  <c r="C38" i="12"/>
  <c r="AA37" i="12"/>
  <c r="S37" i="12"/>
  <c r="AD37" i="12" s="1"/>
  <c r="P37" i="12"/>
  <c r="F37" i="12"/>
  <c r="C37" i="12"/>
  <c r="AD36" i="12"/>
  <c r="AA36" i="12"/>
  <c r="P36" i="12"/>
  <c r="F36" i="12"/>
  <c r="D36" i="12"/>
  <c r="C36" i="12"/>
  <c r="AA35" i="12"/>
  <c r="P35" i="12"/>
  <c r="Q35" i="12" s="1"/>
  <c r="F35" i="12"/>
  <c r="C35" i="12"/>
  <c r="AE34" i="12"/>
  <c r="AE35" i="12" s="1"/>
  <c r="AB34" i="12"/>
  <c r="AA34" i="12"/>
  <c r="P34" i="12"/>
  <c r="F34" i="12"/>
  <c r="C34" i="12"/>
  <c r="D34" i="12" s="1"/>
  <c r="AF32" i="12"/>
  <c r="AB91" i="12" s="1"/>
  <c r="AE32" i="12"/>
  <c r="AE33" i="12" s="1"/>
  <c r="H32" i="12"/>
  <c r="D60" i="12" s="1"/>
  <c r="G32" i="12"/>
  <c r="G33" i="12" s="1"/>
  <c r="G34" i="12" s="1"/>
  <c r="G35" i="12" s="1"/>
  <c r="C29" i="12"/>
  <c r="B29" i="12"/>
  <c r="AA27" i="12"/>
  <c r="AD94" i="12" s="1"/>
  <c r="AA26" i="12"/>
  <c r="AD92" i="12" s="1"/>
  <c r="P26" i="12"/>
  <c r="S92" i="12" s="1"/>
  <c r="AA25" i="12"/>
  <c r="AD89" i="12" s="1"/>
  <c r="P25" i="12"/>
  <c r="S89" i="12" s="1"/>
  <c r="AA24" i="12"/>
  <c r="AD86" i="12" s="1"/>
  <c r="P24" i="12"/>
  <c r="S86" i="12" s="1"/>
  <c r="P22" i="12"/>
  <c r="S82" i="12" s="1"/>
  <c r="AA21" i="12"/>
  <c r="AD77" i="12" s="1"/>
  <c r="P21" i="12"/>
  <c r="S77" i="12" s="1"/>
  <c r="AA20" i="12"/>
  <c r="AD74" i="12" s="1"/>
  <c r="P20" i="12"/>
  <c r="S74" i="12" s="1"/>
  <c r="AA18" i="12"/>
  <c r="AD69" i="12" s="1"/>
  <c r="P18" i="12"/>
  <c r="S69" i="12" s="1"/>
  <c r="AA17" i="12"/>
  <c r="AD65" i="12" s="1"/>
  <c r="C13" i="21" s="1"/>
  <c r="C14" i="21" s="1"/>
  <c r="P17" i="12"/>
  <c r="S65" i="12" s="1"/>
  <c r="AA16" i="12"/>
  <c r="AD62" i="12" s="1"/>
  <c r="P16" i="12"/>
  <c r="S62" i="12" s="1"/>
  <c r="AA15" i="12"/>
  <c r="AD59" i="12" s="1"/>
  <c r="AA14" i="12"/>
  <c r="AD58" i="12" s="1"/>
  <c r="P14" i="12"/>
  <c r="S58" i="12" s="1"/>
  <c r="P13" i="12"/>
  <c r="S53" i="12" s="1"/>
  <c r="AA12" i="12"/>
  <c r="AD50" i="12" s="1"/>
  <c r="P12" i="12"/>
  <c r="S50" i="12" s="1"/>
  <c r="AA10" i="12"/>
  <c r="AD47" i="12" s="1"/>
  <c r="P10" i="12"/>
  <c r="S47" i="12" s="1"/>
  <c r="AA9" i="12"/>
  <c r="AD46" i="12" s="1"/>
  <c r="P9" i="12"/>
  <c r="S46" i="12" s="1"/>
  <c r="AA6" i="12"/>
  <c r="L10" i="13"/>
  <c r="J35" i="18"/>
  <c r="Q35" i="18" s="1"/>
  <c r="J36" i="18"/>
  <c r="Q36" i="18" s="1"/>
  <c r="J37" i="18"/>
  <c r="Q37" i="18" s="1"/>
  <c r="J38" i="18"/>
  <c r="J39" i="18"/>
  <c r="M72" i="1"/>
  <c r="N39" i="18" l="1"/>
  <c r="Q39" i="18"/>
  <c r="N38" i="18"/>
  <c r="Q38" i="18"/>
  <c r="AE36" i="12"/>
  <c r="AE37" i="12"/>
  <c r="AE38" i="12" s="1"/>
  <c r="AE39" i="12" s="1"/>
  <c r="AE40" i="12" s="1"/>
  <c r="AE41" i="12" s="1"/>
  <c r="AE42" i="12" s="1"/>
  <c r="AE43" i="12" s="1"/>
  <c r="AE44" i="12" s="1"/>
  <c r="AE45" i="12" s="1"/>
  <c r="AE46" i="12" s="1"/>
  <c r="AE47" i="12" s="1"/>
  <c r="AE48" i="12" s="1"/>
  <c r="AE49" i="12" s="1"/>
  <c r="AE50" i="12" s="1"/>
  <c r="AE51" i="12" s="1"/>
  <c r="AE52" i="12" s="1"/>
  <c r="AE53" i="12" s="1"/>
  <c r="AF34" i="12"/>
  <c r="P2" i="12"/>
  <c r="G36" i="12"/>
  <c r="G37" i="12" s="1"/>
  <c r="G38" i="12" s="1"/>
  <c r="G39" i="12" s="1"/>
  <c r="G40" i="12" s="1"/>
  <c r="G41" i="12" s="1"/>
  <c r="X47" i="12"/>
  <c r="D44" i="12"/>
  <c r="D46" i="12"/>
  <c r="Q50" i="12"/>
  <c r="D51" i="12"/>
  <c r="Q70" i="12"/>
  <c r="D75" i="12"/>
  <c r="Q56" i="12"/>
  <c r="D68" i="12"/>
  <c r="D41" i="12"/>
  <c r="D48" i="12"/>
  <c r="D53" i="12"/>
  <c r="AB54" i="12"/>
  <c r="D58" i="12"/>
  <c r="D59" i="12"/>
  <c r="AB69" i="12"/>
  <c r="AB85" i="12"/>
  <c r="Q93" i="12"/>
  <c r="D94" i="12"/>
  <c r="Q91" i="12"/>
  <c r="D90" i="12"/>
  <c r="Q87" i="12"/>
  <c r="D86" i="12"/>
  <c r="Q83" i="12"/>
  <c r="D82" i="12"/>
  <c r="Q79" i="12"/>
  <c r="D78" i="12"/>
  <c r="Q75" i="12"/>
  <c r="D74" i="12"/>
  <c r="Q71" i="12"/>
  <c r="D70" i="12"/>
  <c r="Q67" i="12"/>
  <c r="D91" i="12"/>
  <c r="Q88" i="12"/>
  <c r="D84" i="12"/>
  <c r="Q82" i="12"/>
  <c r="D77" i="12"/>
  <c r="Q65" i="12"/>
  <c r="Q64" i="12"/>
  <c r="Q63" i="12"/>
  <c r="Q61" i="12"/>
  <c r="D92" i="12"/>
  <c r="Q89" i="12"/>
  <c r="D85" i="12"/>
  <c r="D71" i="12"/>
  <c r="Q68" i="12"/>
  <c r="Q90" i="12"/>
  <c r="D79" i="12"/>
  <c r="Q76" i="12"/>
  <c r="D72" i="12"/>
  <c r="Q69" i="12"/>
  <c r="D93" i="12"/>
  <c r="Q92" i="12"/>
  <c r="D87" i="12"/>
  <c r="Q85" i="12"/>
  <c r="D81" i="12"/>
  <c r="Q78" i="12"/>
  <c r="D66" i="12"/>
  <c r="D61" i="12"/>
  <c r="Q51" i="12"/>
  <c r="D45" i="12"/>
  <c r="D37" i="12"/>
  <c r="J41" i="12" s="1"/>
  <c r="AB35" i="12"/>
  <c r="D88" i="12"/>
  <c r="Q86" i="12"/>
  <c r="D62" i="12"/>
  <c r="Q74" i="12"/>
  <c r="Q80" i="12"/>
  <c r="D43" i="12"/>
  <c r="Q49" i="12"/>
  <c r="D50" i="12"/>
  <c r="D57" i="12"/>
  <c r="D69" i="12"/>
  <c r="AB70" i="12"/>
  <c r="Q77" i="12"/>
  <c r="Q55" i="12"/>
  <c r="D65" i="12"/>
  <c r="AB94" i="12"/>
  <c r="AB92" i="12"/>
  <c r="AB88" i="12"/>
  <c r="AB84" i="12"/>
  <c r="AB80" i="12"/>
  <c r="AB76" i="12"/>
  <c r="AB72" i="12"/>
  <c r="AB68" i="12"/>
  <c r="AB79" i="12"/>
  <c r="AB86" i="12"/>
  <c r="AB73" i="12"/>
  <c r="AB87" i="12"/>
  <c r="AB81" i="12"/>
  <c r="AB66" i="12"/>
  <c r="AB65" i="12"/>
  <c r="AB89" i="12"/>
  <c r="AB82" i="12"/>
  <c r="AB75" i="12"/>
  <c r="AB62" i="12"/>
  <c r="AB61" i="12"/>
  <c r="AB57" i="12"/>
  <c r="AB56" i="12"/>
  <c r="AB55" i="12"/>
  <c r="AB90" i="12"/>
  <c r="AB83" i="12"/>
  <c r="Q34" i="12"/>
  <c r="D38" i="12"/>
  <c r="D47" i="12"/>
  <c r="Q54" i="12"/>
  <c r="D56" i="12"/>
  <c r="AB58" i="12"/>
  <c r="AB59" i="12"/>
  <c r="D64" i="12"/>
  <c r="D73" i="12"/>
  <c r="D76" i="12"/>
  <c r="Q84" i="12"/>
  <c r="H34" i="12"/>
  <c r="D35" i="12"/>
  <c r="J35" i="12" s="1"/>
  <c r="X48" i="12" s="1"/>
  <c r="Q52" i="12"/>
  <c r="D39" i="12"/>
  <c r="D52" i="12"/>
  <c r="D55" i="12"/>
  <c r="Q60" i="12"/>
  <c r="AB67" i="12"/>
  <c r="Q72" i="12"/>
  <c r="AB77" i="12"/>
  <c r="D89" i="12"/>
  <c r="AB93" i="12"/>
  <c r="Q3" i="6"/>
  <c r="R3" i="6" s="1"/>
  <c r="Q4" i="6"/>
  <c r="R4" i="6" s="1"/>
  <c r="E109" i="1"/>
  <c r="E46" i="1"/>
  <c r="E47" i="1"/>
  <c r="E48" i="1"/>
  <c r="E49" i="1"/>
  <c r="E50" i="1"/>
  <c r="E51" i="1"/>
  <c r="E52" i="1"/>
  <c r="E53" i="1"/>
  <c r="E54" i="1"/>
  <c r="E55" i="1"/>
  <c r="E56" i="1"/>
  <c r="E58" i="1"/>
  <c r="E59" i="1"/>
  <c r="E45" i="1"/>
  <c r="O19" i="24"/>
  <c r="P19" i="24" s="1"/>
  <c r="C44" i="15"/>
  <c r="Q12" i="6" s="1"/>
  <c r="R12" i="6" s="1"/>
  <c r="AB96" i="12" l="1"/>
  <c r="AB97" i="12" s="1"/>
  <c r="D96" i="12"/>
  <c r="Q96" i="12"/>
  <c r="Q97" i="12" s="1"/>
  <c r="U34" i="12"/>
  <c r="U35" i="12" s="1"/>
  <c r="U36" i="12" s="1"/>
  <c r="U37" i="12" s="1"/>
  <c r="U38" i="12" s="1"/>
  <c r="U39" i="12" s="1"/>
  <c r="U40" i="12" s="1"/>
  <c r="U41" i="12" s="1"/>
  <c r="U42" i="12" s="1"/>
  <c r="U43" i="12" s="1"/>
  <c r="U44" i="12" s="1"/>
  <c r="U45" i="12" s="1"/>
  <c r="U46" i="12" s="1"/>
  <c r="U47" i="12" s="1"/>
  <c r="U48" i="12" s="1"/>
  <c r="U49" i="12" s="1"/>
  <c r="U50" i="12" s="1"/>
  <c r="U51" i="12" s="1"/>
  <c r="U52" i="12" s="1"/>
  <c r="U53" i="12" s="1"/>
  <c r="U54" i="12" s="1"/>
  <c r="U55" i="12" s="1"/>
  <c r="U56" i="12" s="1"/>
  <c r="U57" i="12" s="1"/>
  <c r="U58" i="12" s="1"/>
  <c r="U59" i="12" s="1"/>
  <c r="U60" i="12" s="1"/>
  <c r="U61" i="12" s="1"/>
  <c r="U62" i="12" s="1"/>
  <c r="U63" i="12" s="1"/>
  <c r="U64" i="12" s="1"/>
  <c r="U65" i="12" s="1"/>
  <c r="U66" i="12" s="1"/>
  <c r="U67" i="12" s="1"/>
  <c r="U68" i="12" s="1"/>
  <c r="U69" i="12" s="1"/>
  <c r="U70" i="12" s="1"/>
  <c r="U71" i="12" s="1"/>
  <c r="U72" i="12" s="1"/>
  <c r="U73" i="12" s="1"/>
  <c r="U74" i="12" s="1"/>
  <c r="U75" i="12" s="1"/>
  <c r="U76" i="12" s="1"/>
  <c r="U77" i="12" s="1"/>
  <c r="U78" i="12" s="1"/>
  <c r="U79" i="12" s="1"/>
  <c r="U80" i="12" s="1"/>
  <c r="U81" i="12" s="1"/>
  <c r="U82" i="12" s="1"/>
  <c r="U83" i="12" s="1"/>
  <c r="U84" i="12" s="1"/>
  <c r="U85" i="12" s="1"/>
  <c r="U86" i="12" s="1"/>
  <c r="U87" i="12" s="1"/>
  <c r="U88" i="12" s="1"/>
  <c r="U89" i="12" s="1"/>
  <c r="U90" i="12" s="1"/>
  <c r="U91" i="12" s="1"/>
  <c r="U92" i="12" s="1"/>
  <c r="U93" i="12" s="1"/>
  <c r="U94" i="12" s="1"/>
  <c r="U95" i="12" s="1"/>
  <c r="E42" i="12"/>
  <c r="G42" i="12" s="1"/>
  <c r="O29" i="12"/>
  <c r="S29" i="12" s="1"/>
  <c r="R8" i="12"/>
  <c r="T35" i="12"/>
  <c r="T36" i="12" s="1"/>
  <c r="T37" i="12" s="1"/>
  <c r="T38" i="12" s="1"/>
  <c r="T39" i="12" s="1"/>
  <c r="T40" i="12" s="1"/>
  <c r="T41" i="12" s="1"/>
  <c r="T42" i="12" s="1"/>
  <c r="T43" i="12" s="1"/>
  <c r="T44" i="12" s="1"/>
  <c r="T45" i="12" s="1"/>
  <c r="T46" i="12" s="1"/>
  <c r="T47" i="12" s="1"/>
  <c r="T48" i="12" s="1"/>
  <c r="T49" i="12" s="1"/>
  <c r="T50" i="12" s="1"/>
  <c r="T51" i="12" s="1"/>
  <c r="T52" i="12" s="1"/>
  <c r="T53" i="12" s="1"/>
  <c r="P29" i="12"/>
  <c r="AF35" i="12"/>
  <c r="AF36" i="12" s="1"/>
  <c r="AF37" i="12" s="1"/>
  <c r="AF38" i="12" s="1"/>
  <c r="AF39" i="12" s="1"/>
  <c r="AF40" i="12" s="1"/>
  <c r="AF41" i="12" s="1"/>
  <c r="AF42" i="12" s="1"/>
  <c r="AF43" i="12" s="1"/>
  <c r="AF44" i="12" s="1"/>
  <c r="AF45" i="12" s="1"/>
  <c r="AF46" i="12" s="1"/>
  <c r="AF47" i="12" s="1"/>
  <c r="AF48" i="12" s="1"/>
  <c r="AF49" i="12" s="1"/>
  <c r="AF50" i="12" s="1"/>
  <c r="AF51" i="12" s="1"/>
  <c r="AF52" i="12" s="1"/>
  <c r="AF53" i="12" s="1"/>
  <c r="AF54" i="12" s="1"/>
  <c r="AF55" i="12" s="1"/>
  <c r="AF56" i="12" s="1"/>
  <c r="AF57" i="12" s="1"/>
  <c r="AF58" i="12" s="1"/>
  <c r="AF59" i="12" s="1"/>
  <c r="AF60" i="12" s="1"/>
  <c r="AF61" i="12" s="1"/>
  <c r="AF62" i="12" s="1"/>
  <c r="AF63" i="12" s="1"/>
  <c r="AF64" i="12" s="1"/>
  <c r="AF65" i="12" s="1"/>
  <c r="AF66" i="12" s="1"/>
  <c r="AF67" i="12" s="1"/>
  <c r="AF68" i="12" s="1"/>
  <c r="AF69" i="12" s="1"/>
  <c r="AF70" i="12" s="1"/>
  <c r="AF71" i="12" s="1"/>
  <c r="AF72" i="12" s="1"/>
  <c r="AF73" i="12" s="1"/>
  <c r="AF74" i="12" s="1"/>
  <c r="AF75" i="12" s="1"/>
  <c r="AF76" i="12" s="1"/>
  <c r="AF77" i="12" s="1"/>
  <c r="AF78" i="12" s="1"/>
  <c r="AF79" i="12" s="1"/>
  <c r="AF80" i="12" s="1"/>
  <c r="AF81" i="12" s="1"/>
  <c r="AF82" i="12" s="1"/>
  <c r="AF83" i="12" s="1"/>
  <c r="AF84" i="12" s="1"/>
  <c r="AF85" i="12" s="1"/>
  <c r="AF86" i="12" s="1"/>
  <c r="AF87" i="12" s="1"/>
  <c r="AF88" i="12" s="1"/>
  <c r="AF89" i="12" s="1"/>
  <c r="AF90" i="12" s="1"/>
  <c r="AF91" i="12" s="1"/>
  <c r="AF92" i="12" s="1"/>
  <c r="AF93" i="12" s="1"/>
  <c r="AF94" i="12" s="1"/>
  <c r="AF95" i="12" s="1"/>
  <c r="H35" i="12"/>
  <c r="H36" i="12" s="1"/>
  <c r="H37" i="12" s="1"/>
  <c r="H38" i="12" s="1"/>
  <c r="H39" i="12" s="1"/>
  <c r="H40" i="12" s="1"/>
  <c r="H41" i="12" s="1"/>
  <c r="C31" i="4"/>
  <c r="N21" i="13"/>
  <c r="E43" i="12" l="1"/>
  <c r="G43" i="12" s="1"/>
  <c r="R54" i="12"/>
  <c r="T54" i="12" s="1"/>
  <c r="AA13" i="12"/>
  <c r="I41" i="12"/>
  <c r="H42" i="12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H70" i="12" s="1"/>
  <c r="H71" i="12" s="1"/>
  <c r="H72" i="12" s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K20" i="24"/>
  <c r="K19" i="24"/>
  <c r="C19" i="24"/>
  <c r="K18" i="24"/>
  <c r="C18" i="24"/>
  <c r="C17" i="24"/>
  <c r="C16" i="24"/>
  <c r="C15" i="24"/>
  <c r="O14" i="24"/>
  <c r="C14" i="24"/>
  <c r="C13" i="24"/>
  <c r="C12" i="24"/>
  <c r="C11" i="24"/>
  <c r="C10" i="24"/>
  <c r="C9" i="24"/>
  <c r="J9" i="24" s="1"/>
  <c r="L9" i="24" s="1"/>
  <c r="M9" i="24" s="1"/>
  <c r="N8" i="24"/>
  <c r="N9" i="24" s="1"/>
  <c r="M8" i="24"/>
  <c r="K8" i="24"/>
  <c r="C8" i="24"/>
  <c r="J8" i="24" s="1"/>
  <c r="O8" i="24" s="1"/>
  <c r="R55" i="12" l="1"/>
  <c r="T55" i="12" s="1"/>
  <c r="E44" i="12"/>
  <c r="AC14" i="12"/>
  <c r="Z29" i="12"/>
  <c r="AC54" i="12" s="1"/>
  <c r="AA29" i="12"/>
  <c r="N10" i="24"/>
  <c r="J10" i="24"/>
  <c r="L10" i="24" s="1"/>
  <c r="M10" i="24" s="1"/>
  <c r="J11" i="24"/>
  <c r="L11" i="24" s="1"/>
  <c r="M11" i="24" s="1"/>
  <c r="K21" i="24"/>
  <c r="R56" i="12" l="1"/>
  <c r="AE54" i="12"/>
  <c r="G44" i="12"/>
  <c r="N11" i="24"/>
  <c r="K22" i="24"/>
  <c r="J12" i="24"/>
  <c r="E45" i="12" l="1"/>
  <c r="G45" i="12" s="1"/>
  <c r="AC55" i="12"/>
  <c r="T56" i="12"/>
  <c r="K23" i="24"/>
  <c r="J13" i="24"/>
  <c r="L13" i="24" s="1"/>
  <c r="M13" i="24" s="1"/>
  <c r="L12" i="24"/>
  <c r="M12" i="24" s="1"/>
  <c r="J14" i="24"/>
  <c r="N12" i="24"/>
  <c r="N13" i="24" s="1"/>
  <c r="AE55" i="12" l="1"/>
  <c r="AC56" i="12"/>
  <c r="AE56" i="12" s="1"/>
  <c r="G46" i="12"/>
  <c r="E46" i="12"/>
  <c r="R57" i="12"/>
  <c r="T57" i="12" s="1"/>
  <c r="P14" i="24"/>
  <c r="L14" i="24"/>
  <c r="M14" i="24" s="1"/>
  <c r="J15" i="24"/>
  <c r="K24" i="24"/>
  <c r="R58" i="12" l="1"/>
  <c r="T58" i="12"/>
  <c r="AC57" i="12"/>
  <c r="AE57" i="12"/>
  <c r="E47" i="12"/>
  <c r="G47" i="12" s="1"/>
  <c r="N14" i="24"/>
  <c r="L15" i="24"/>
  <c r="M15" i="24" s="1"/>
  <c r="J16" i="24"/>
  <c r="K25" i="24"/>
  <c r="E48" i="12" l="1"/>
  <c r="G48" i="12"/>
  <c r="AC58" i="12"/>
  <c r="R59" i="12"/>
  <c r="T59" i="12" s="1"/>
  <c r="K26" i="24"/>
  <c r="L16" i="24"/>
  <c r="M16" i="24" s="1"/>
  <c r="J17" i="24"/>
  <c r="N15" i="24"/>
  <c r="N16" i="24" s="1"/>
  <c r="AE58" i="12" l="1"/>
  <c r="R60" i="12"/>
  <c r="T60" i="12" s="1"/>
  <c r="AC59" i="12"/>
  <c r="AE59" i="12"/>
  <c r="E49" i="12"/>
  <c r="G49" i="12"/>
  <c r="L17" i="24"/>
  <c r="M17" i="24" s="1"/>
  <c r="J18" i="24"/>
  <c r="K27" i="24"/>
  <c r="R61" i="12" l="1"/>
  <c r="T61" i="12" s="1"/>
  <c r="E50" i="12"/>
  <c r="G50" i="12" s="1"/>
  <c r="AC60" i="12"/>
  <c r="AE60" i="12" s="1"/>
  <c r="J19" i="24"/>
  <c r="L18" i="24"/>
  <c r="M18" i="24" s="1"/>
  <c r="K28" i="24"/>
  <c r="N17" i="24"/>
  <c r="N18" i="24" s="1"/>
  <c r="AC61" i="12" l="1"/>
  <c r="AE61" i="12" s="1"/>
  <c r="E51" i="12"/>
  <c r="G51" i="12" s="1"/>
  <c r="R62" i="12"/>
  <c r="T62" i="12" s="1"/>
  <c r="K29" i="24"/>
  <c r="J20" i="24"/>
  <c r="L19" i="24"/>
  <c r="M19" i="24" s="1"/>
  <c r="R63" i="12" l="1"/>
  <c r="T63" i="12" s="1"/>
  <c r="E52" i="12"/>
  <c r="G52" i="12" s="1"/>
  <c r="AC62" i="12"/>
  <c r="AE62" i="12" s="1"/>
  <c r="L20" i="24"/>
  <c r="M20" i="24" s="1"/>
  <c r="J21" i="24"/>
  <c r="N19" i="24"/>
  <c r="N20" i="24" s="1"/>
  <c r="K30" i="24"/>
  <c r="AC63" i="12" l="1"/>
  <c r="AE63" i="12" s="1"/>
  <c r="E53" i="12"/>
  <c r="G53" i="12" s="1"/>
  <c r="R64" i="12"/>
  <c r="T64" i="12" s="1"/>
  <c r="K31" i="24"/>
  <c r="J22" i="24"/>
  <c r="L21" i="24"/>
  <c r="M21" i="24" s="1"/>
  <c r="R65" i="12" l="1"/>
  <c r="T65" i="12" s="1"/>
  <c r="E54" i="12"/>
  <c r="G54" i="12" s="1"/>
  <c r="AC64" i="12"/>
  <c r="AE64" i="12"/>
  <c r="J23" i="24"/>
  <c r="L22" i="24"/>
  <c r="M22" i="24" s="1"/>
  <c r="N21" i="24"/>
  <c r="N22" i="24" s="1"/>
  <c r="K32" i="24"/>
  <c r="E55" i="12" l="1"/>
  <c r="G55" i="12" s="1"/>
  <c r="AC65" i="12"/>
  <c r="AE65" i="12" s="1"/>
  <c r="L4" i="13" s="1"/>
  <c r="R66" i="12"/>
  <c r="T66" i="12" s="1"/>
  <c r="K33" i="24"/>
  <c r="J24" i="24"/>
  <c r="L23" i="24"/>
  <c r="M23" i="24" s="1"/>
  <c r="AC66" i="12" l="1"/>
  <c r="AE66" i="12" s="1"/>
  <c r="E56" i="12"/>
  <c r="G56" i="12" s="1"/>
  <c r="R67" i="12"/>
  <c r="T67" i="12" s="1"/>
  <c r="J25" i="24"/>
  <c r="L24" i="24"/>
  <c r="M24" i="24" s="1"/>
  <c r="N23" i="24"/>
  <c r="N24" i="24" s="1"/>
  <c r="K34" i="24"/>
  <c r="R68" i="12" l="1"/>
  <c r="T68" i="12" s="1"/>
  <c r="E57" i="12"/>
  <c r="G57" i="12" s="1"/>
  <c r="AC67" i="12"/>
  <c r="AE67" i="12" s="1"/>
  <c r="J26" i="24"/>
  <c r="L25" i="24"/>
  <c r="M25" i="24" s="1"/>
  <c r="R69" i="12" l="1"/>
  <c r="T69" i="12" s="1"/>
  <c r="AC68" i="12"/>
  <c r="AE68" i="12" s="1"/>
  <c r="E58" i="12"/>
  <c r="G58" i="12" s="1"/>
  <c r="J27" i="24"/>
  <c r="L26" i="24"/>
  <c r="M26" i="24" s="1"/>
  <c r="N25" i="24"/>
  <c r="N26" i="24" s="1"/>
  <c r="E59" i="12" l="1"/>
  <c r="G59" i="12" s="1"/>
  <c r="R70" i="12"/>
  <c r="T70" i="12" s="1"/>
  <c r="AC69" i="12"/>
  <c r="AE69" i="12" s="1"/>
  <c r="J28" i="24"/>
  <c r="L27" i="24"/>
  <c r="M27" i="24" s="1"/>
  <c r="AC70" i="12" l="1"/>
  <c r="AE70" i="12" s="1"/>
  <c r="R71" i="12"/>
  <c r="T71" i="12" s="1"/>
  <c r="E60" i="12"/>
  <c r="G60" i="12" s="1"/>
  <c r="J29" i="24"/>
  <c r="L28" i="24"/>
  <c r="M28" i="24" s="1"/>
  <c r="N27" i="24"/>
  <c r="N28" i="24" s="1"/>
  <c r="E61" i="12" l="1"/>
  <c r="G61" i="12"/>
  <c r="R72" i="12"/>
  <c r="T72" i="12" s="1"/>
  <c r="AC71" i="12"/>
  <c r="AE71" i="12" s="1"/>
  <c r="N29" i="24"/>
  <c r="J30" i="24"/>
  <c r="L29" i="24"/>
  <c r="M29" i="24" s="1"/>
  <c r="AC72" i="12" l="1"/>
  <c r="AE72" i="12" s="1"/>
  <c r="R73" i="12"/>
  <c r="T73" i="12" s="1"/>
  <c r="E62" i="12"/>
  <c r="G62" i="12" s="1"/>
  <c r="J31" i="24"/>
  <c r="L30" i="24"/>
  <c r="M30" i="24" s="1"/>
  <c r="E63" i="12" l="1"/>
  <c r="G63" i="12"/>
  <c r="R74" i="12"/>
  <c r="T74" i="12" s="1"/>
  <c r="AC73" i="12"/>
  <c r="AE73" i="12" s="1"/>
  <c r="N30" i="24"/>
  <c r="J32" i="24"/>
  <c r="L31" i="24"/>
  <c r="M31" i="24" s="1"/>
  <c r="R75" i="12" l="1"/>
  <c r="T75" i="12" s="1"/>
  <c r="AC74" i="12"/>
  <c r="AE74" i="12" s="1"/>
  <c r="E64" i="12"/>
  <c r="G64" i="12" s="1"/>
  <c r="J33" i="24"/>
  <c r="L32" i="24"/>
  <c r="M32" i="24" s="1"/>
  <c r="N31" i="24"/>
  <c r="N32" i="24" s="1"/>
  <c r="E65" i="12" l="1"/>
  <c r="G65" i="12" s="1"/>
  <c r="AC75" i="12"/>
  <c r="AE75" i="12" s="1"/>
  <c r="R76" i="12"/>
  <c r="T76" i="12" s="1"/>
  <c r="J34" i="24"/>
  <c r="L34" i="24" s="1"/>
  <c r="M34" i="24" s="1"/>
  <c r="L33" i="24"/>
  <c r="M33" i="24" s="1"/>
  <c r="R77" i="12" l="1"/>
  <c r="T77" i="12" s="1"/>
  <c r="AC76" i="12"/>
  <c r="AE76" i="12" s="1"/>
  <c r="E66" i="12"/>
  <c r="G66" i="12" s="1"/>
  <c r="N33" i="24"/>
  <c r="N34" i="24" s="1"/>
  <c r="E67" i="12" l="1"/>
  <c r="G67" i="12" s="1"/>
  <c r="R78" i="12"/>
  <c r="T78" i="12" s="1"/>
  <c r="AC77" i="12"/>
  <c r="AE77" i="12" s="1"/>
  <c r="R79" i="12" l="1"/>
  <c r="T79" i="12" s="1"/>
  <c r="AC78" i="12"/>
  <c r="AE78" i="12" s="1"/>
  <c r="E68" i="12"/>
  <c r="G68" i="12" s="1"/>
  <c r="E69" i="12" l="1"/>
  <c r="G69" i="12" s="1"/>
  <c r="AC79" i="12"/>
  <c r="AE79" i="12" s="1"/>
  <c r="R80" i="12"/>
  <c r="T80" i="12" s="1"/>
  <c r="R81" i="12" l="1"/>
  <c r="T81" i="12" s="1"/>
  <c r="AC80" i="12"/>
  <c r="AE80" i="12" s="1"/>
  <c r="E70" i="12"/>
  <c r="G70" i="12" s="1"/>
  <c r="F7" i="4"/>
  <c r="AC81" i="12" l="1"/>
  <c r="AE81" i="12" s="1"/>
  <c r="R82" i="12"/>
  <c r="T82" i="12" s="1"/>
  <c r="E71" i="12"/>
  <c r="G71" i="12" s="1"/>
  <c r="F13" i="21"/>
  <c r="F20" i="23"/>
  <c r="R83" i="12" l="1"/>
  <c r="T83" i="12" s="1"/>
  <c r="AC82" i="12"/>
  <c r="AE82" i="12" s="1"/>
  <c r="E72" i="12"/>
  <c r="G72" i="12" s="1"/>
  <c r="C35" i="21"/>
  <c r="AC83" i="12" l="1"/>
  <c r="AE83" i="12" s="1"/>
  <c r="R84" i="12"/>
  <c r="T84" i="12" s="1"/>
  <c r="E73" i="12"/>
  <c r="G73" i="12" s="1"/>
  <c r="L4" i="6"/>
  <c r="M4" i="6" s="1"/>
  <c r="L3" i="6"/>
  <c r="M3" i="6" s="1"/>
  <c r="AC84" i="12" l="1"/>
  <c r="AE84" i="12" s="1"/>
  <c r="R85" i="12"/>
  <c r="T85" i="12" s="1"/>
  <c r="E74" i="12"/>
  <c r="G74" i="12" s="1"/>
  <c r="L6" i="6"/>
  <c r="J34" i="18"/>
  <c r="Q34" i="18" s="1"/>
  <c r="J4" i="18"/>
  <c r="G16" i="13"/>
  <c r="H16" i="13"/>
  <c r="G17" i="13"/>
  <c r="G19" i="13"/>
  <c r="G20" i="13"/>
  <c r="G22" i="13"/>
  <c r="G23" i="13"/>
  <c r="G24" i="13"/>
  <c r="H25" i="13"/>
  <c r="H26" i="13"/>
  <c r="H27" i="13"/>
  <c r="H28" i="13"/>
  <c r="H29" i="13"/>
  <c r="H30" i="13"/>
  <c r="H33" i="13"/>
  <c r="H34" i="13"/>
  <c r="H36" i="13"/>
  <c r="H37" i="13"/>
  <c r="G38" i="13"/>
  <c r="G39" i="13"/>
  <c r="D40" i="13"/>
  <c r="C40" i="13"/>
  <c r="H6" i="13"/>
  <c r="J42" i="18" l="1"/>
  <c r="S10" i="6"/>
  <c r="Q4" i="18"/>
  <c r="S3" i="6"/>
  <c r="S4" i="6"/>
  <c r="T4" i="6" s="1"/>
  <c r="AC85" i="12"/>
  <c r="AE85" i="12" s="1"/>
  <c r="E75" i="12"/>
  <c r="G75" i="12" s="1"/>
  <c r="R86" i="12"/>
  <c r="T86" i="12" s="1"/>
  <c r="S12" i="6"/>
  <c r="T12" i="6" s="1"/>
  <c r="J16" i="13"/>
  <c r="N10" i="6"/>
  <c r="N4" i="6"/>
  <c r="O4" i="6" s="1"/>
  <c r="N3" i="6"/>
  <c r="O3" i="6" s="1"/>
  <c r="B882" i="9"/>
  <c r="G21" i="16" l="1"/>
  <c r="C31" i="16" s="1"/>
  <c r="R87" i="12"/>
  <c r="T87" i="12" s="1"/>
  <c r="AC86" i="12"/>
  <c r="AE86" i="12" s="1"/>
  <c r="E76" i="12"/>
  <c r="G76" i="12" s="1"/>
  <c r="R88" i="12" l="1"/>
  <c r="T88" i="12" s="1"/>
  <c r="E77" i="12"/>
  <c r="G77" i="12" s="1"/>
  <c r="AC87" i="12"/>
  <c r="AE87" i="12" s="1"/>
  <c r="R89" i="12" l="1"/>
  <c r="T89" i="12" s="1"/>
  <c r="E78" i="12"/>
  <c r="G78" i="12" s="1"/>
  <c r="AC88" i="12"/>
  <c r="AE88" i="12" s="1"/>
  <c r="G4" i="6"/>
  <c r="H4" i="6" s="1"/>
  <c r="J4" i="6" s="1"/>
  <c r="G3" i="6"/>
  <c r="H3" i="6" s="1"/>
  <c r="R90" i="12" l="1"/>
  <c r="T90" i="12" s="1"/>
  <c r="AC89" i="12"/>
  <c r="AE89" i="12" s="1"/>
  <c r="E79" i="12"/>
  <c r="G79" i="12" s="1"/>
  <c r="G6" i="6"/>
  <c r="AC90" i="12" l="1"/>
  <c r="AE90" i="12" s="1"/>
  <c r="E80" i="12"/>
  <c r="G80" i="12" s="1"/>
  <c r="R91" i="12"/>
  <c r="T91" i="12" s="1"/>
  <c r="J18" i="16"/>
  <c r="R92" i="12" l="1"/>
  <c r="T92" i="12" s="1"/>
  <c r="E81" i="12"/>
  <c r="G81" i="12" s="1"/>
  <c r="AC91" i="12"/>
  <c r="AE91" i="12" s="1"/>
  <c r="C60" i="16"/>
  <c r="E60" i="16" s="1"/>
  <c r="AC92" i="12" l="1"/>
  <c r="AE92" i="12" s="1"/>
  <c r="E82" i="12"/>
  <c r="G82" i="12" s="1"/>
  <c r="R93" i="12"/>
  <c r="T93" i="12" s="1"/>
  <c r="Q10" i="6"/>
  <c r="R10" i="6" s="1"/>
  <c r="T10" i="6" s="1"/>
  <c r="L10" i="6"/>
  <c r="M10" i="6" s="1"/>
  <c r="O10" i="6" s="1"/>
  <c r="A1" i="22"/>
  <c r="A1" i="21"/>
  <c r="C19" i="22"/>
  <c r="E4" i="8"/>
  <c r="D4" i="8"/>
  <c r="I4" i="7"/>
  <c r="D34" i="1"/>
  <c r="L22" i="13"/>
  <c r="L20" i="13"/>
  <c r="E4" i="7"/>
  <c r="B4" i="7"/>
  <c r="D32" i="1"/>
  <c r="E9" i="16"/>
  <c r="C9" i="16"/>
  <c r="G3" i="16"/>
  <c r="B4" i="8" l="1"/>
  <c r="R94" i="12"/>
  <c r="R96" i="12" s="1"/>
  <c r="R97" i="12" s="1"/>
  <c r="E83" i="12"/>
  <c r="G83" i="12" s="1"/>
  <c r="AC93" i="12"/>
  <c r="AE93" i="12" s="1"/>
  <c r="I3" i="6"/>
  <c r="C33" i="16"/>
  <c r="I9" i="16"/>
  <c r="J9" i="16" s="1"/>
  <c r="C13" i="16"/>
  <c r="C14" i="16"/>
  <c r="C15" i="16"/>
  <c r="C12" i="16"/>
  <c r="E7" i="16"/>
  <c r="C7" i="16"/>
  <c r="G5" i="16"/>
  <c r="C3" i="16"/>
  <c r="D32" i="16"/>
  <c r="T94" i="12" l="1"/>
  <c r="T95" i="12" s="1"/>
  <c r="AC94" i="12"/>
  <c r="AC96" i="12" s="1"/>
  <c r="AC97" i="12" s="1"/>
  <c r="E84" i="12"/>
  <c r="G84" i="12" s="1"/>
  <c r="C58" i="16"/>
  <c r="E58" i="16" s="1"/>
  <c r="M9" i="16"/>
  <c r="G16" i="16"/>
  <c r="I7" i="16"/>
  <c r="J7" i="16" s="1"/>
  <c r="D31" i="16"/>
  <c r="E45" i="16"/>
  <c r="E85" i="12" l="1"/>
  <c r="G85" i="12" s="1"/>
  <c r="AE94" i="12"/>
  <c r="AE95" i="12" s="1"/>
  <c r="C57" i="16"/>
  <c r="E57" i="16" s="1"/>
  <c r="M7" i="16"/>
  <c r="D34" i="16"/>
  <c r="D33" i="16"/>
  <c r="C47" i="16" s="1"/>
  <c r="E86" i="12" l="1"/>
  <c r="G86" i="12"/>
  <c r="E47" i="16"/>
  <c r="C8" i="4"/>
  <c r="L9" i="13" s="1"/>
  <c r="E87" i="12" l="1"/>
  <c r="G87" i="12" s="1"/>
  <c r="A3" i="14"/>
  <c r="B3" i="14" s="1"/>
  <c r="C3" i="14" s="1"/>
  <c r="H12" i="13"/>
  <c r="A333" i="14"/>
  <c r="B333" i="14" s="1"/>
  <c r="C333" i="14" s="1"/>
  <c r="A332" i="14"/>
  <c r="B332" i="14" s="1"/>
  <c r="C332" i="14" s="1"/>
  <c r="A331" i="14"/>
  <c r="B331" i="14" s="1"/>
  <c r="C331" i="14" s="1"/>
  <c r="A330" i="14"/>
  <c r="B330" i="14" s="1"/>
  <c r="C330" i="14" s="1"/>
  <c r="A329" i="14"/>
  <c r="B329" i="14" s="1"/>
  <c r="C329" i="14" s="1"/>
  <c r="A328" i="14"/>
  <c r="B328" i="14" s="1"/>
  <c r="C328" i="14" s="1"/>
  <c r="A327" i="14"/>
  <c r="B327" i="14" s="1"/>
  <c r="C327" i="14" s="1"/>
  <c r="A326" i="14"/>
  <c r="B326" i="14" s="1"/>
  <c r="C326" i="14" s="1"/>
  <c r="A325" i="14"/>
  <c r="B325" i="14" s="1"/>
  <c r="C325" i="14" s="1"/>
  <c r="A324" i="14"/>
  <c r="B324" i="14" s="1"/>
  <c r="C324" i="14" s="1"/>
  <c r="A323" i="14"/>
  <c r="B323" i="14" s="1"/>
  <c r="C323" i="14" s="1"/>
  <c r="A322" i="14"/>
  <c r="B322" i="14" s="1"/>
  <c r="C322" i="14" s="1"/>
  <c r="A321" i="14"/>
  <c r="B321" i="14" s="1"/>
  <c r="C321" i="14" s="1"/>
  <c r="A320" i="14"/>
  <c r="B320" i="14" s="1"/>
  <c r="C320" i="14" s="1"/>
  <c r="A319" i="14"/>
  <c r="B319" i="14" s="1"/>
  <c r="C319" i="14" s="1"/>
  <c r="A318" i="14"/>
  <c r="B318" i="14" s="1"/>
  <c r="C318" i="14" s="1"/>
  <c r="A317" i="14"/>
  <c r="B317" i="14" s="1"/>
  <c r="C317" i="14" s="1"/>
  <c r="A316" i="14"/>
  <c r="B316" i="14" s="1"/>
  <c r="C316" i="14" s="1"/>
  <c r="A315" i="14"/>
  <c r="B315" i="14" s="1"/>
  <c r="C315" i="14" s="1"/>
  <c r="A314" i="14"/>
  <c r="B314" i="14" s="1"/>
  <c r="C314" i="14" s="1"/>
  <c r="A313" i="14"/>
  <c r="B313" i="14" s="1"/>
  <c r="C313" i="14" s="1"/>
  <c r="A312" i="14"/>
  <c r="B312" i="14" s="1"/>
  <c r="C312" i="14" s="1"/>
  <c r="A311" i="14"/>
  <c r="B311" i="14" s="1"/>
  <c r="C311" i="14" s="1"/>
  <c r="A310" i="14"/>
  <c r="B310" i="14" s="1"/>
  <c r="C310" i="14" s="1"/>
  <c r="A309" i="14"/>
  <c r="B309" i="14" s="1"/>
  <c r="C309" i="14" s="1"/>
  <c r="A308" i="14"/>
  <c r="B308" i="14" s="1"/>
  <c r="C308" i="14" s="1"/>
  <c r="A307" i="14"/>
  <c r="B307" i="14" s="1"/>
  <c r="C307" i="14" s="1"/>
  <c r="A306" i="14"/>
  <c r="B306" i="14" s="1"/>
  <c r="C306" i="14" s="1"/>
  <c r="A305" i="14"/>
  <c r="B305" i="14" s="1"/>
  <c r="C305" i="14" s="1"/>
  <c r="A304" i="14"/>
  <c r="B304" i="14" s="1"/>
  <c r="C304" i="14" s="1"/>
  <c r="A303" i="14"/>
  <c r="B303" i="14" s="1"/>
  <c r="C303" i="14" s="1"/>
  <c r="A302" i="14"/>
  <c r="B302" i="14" s="1"/>
  <c r="C302" i="14" s="1"/>
  <c r="A301" i="14"/>
  <c r="B301" i="14" s="1"/>
  <c r="C301" i="14" s="1"/>
  <c r="A300" i="14"/>
  <c r="B300" i="14" s="1"/>
  <c r="C300" i="14" s="1"/>
  <c r="A299" i="14"/>
  <c r="B299" i="14" s="1"/>
  <c r="C299" i="14" s="1"/>
  <c r="A298" i="14"/>
  <c r="B298" i="14" s="1"/>
  <c r="C298" i="14" s="1"/>
  <c r="A297" i="14"/>
  <c r="B297" i="14" s="1"/>
  <c r="C297" i="14" s="1"/>
  <c r="A296" i="14"/>
  <c r="B296" i="14" s="1"/>
  <c r="C296" i="14" s="1"/>
  <c r="A295" i="14"/>
  <c r="B295" i="14" s="1"/>
  <c r="C295" i="14" s="1"/>
  <c r="A294" i="14"/>
  <c r="B294" i="14" s="1"/>
  <c r="C294" i="14" s="1"/>
  <c r="A293" i="14"/>
  <c r="B293" i="14" s="1"/>
  <c r="C293" i="14" s="1"/>
  <c r="A292" i="14"/>
  <c r="B292" i="14" s="1"/>
  <c r="C292" i="14" s="1"/>
  <c r="A291" i="14"/>
  <c r="B291" i="14" s="1"/>
  <c r="C291" i="14" s="1"/>
  <c r="A290" i="14"/>
  <c r="B290" i="14" s="1"/>
  <c r="C290" i="14" s="1"/>
  <c r="A289" i="14"/>
  <c r="B289" i="14" s="1"/>
  <c r="C289" i="14" s="1"/>
  <c r="A288" i="14"/>
  <c r="B288" i="14" s="1"/>
  <c r="C288" i="14" s="1"/>
  <c r="A287" i="14"/>
  <c r="B287" i="14" s="1"/>
  <c r="C287" i="14" s="1"/>
  <c r="A286" i="14"/>
  <c r="B286" i="14" s="1"/>
  <c r="C286" i="14" s="1"/>
  <c r="A285" i="14"/>
  <c r="B285" i="14" s="1"/>
  <c r="C285" i="14" s="1"/>
  <c r="A284" i="14"/>
  <c r="B284" i="14" s="1"/>
  <c r="C284" i="14" s="1"/>
  <c r="A283" i="14"/>
  <c r="B283" i="14" s="1"/>
  <c r="C283" i="14" s="1"/>
  <c r="A282" i="14"/>
  <c r="B282" i="14" s="1"/>
  <c r="C282" i="14" s="1"/>
  <c r="A281" i="14"/>
  <c r="B281" i="14" s="1"/>
  <c r="C281" i="14" s="1"/>
  <c r="A280" i="14"/>
  <c r="B280" i="14" s="1"/>
  <c r="C280" i="14" s="1"/>
  <c r="A279" i="14"/>
  <c r="B279" i="14" s="1"/>
  <c r="C279" i="14" s="1"/>
  <c r="A278" i="14"/>
  <c r="B278" i="14" s="1"/>
  <c r="C278" i="14" s="1"/>
  <c r="A277" i="14"/>
  <c r="B277" i="14" s="1"/>
  <c r="C277" i="14" s="1"/>
  <c r="A276" i="14"/>
  <c r="B276" i="14" s="1"/>
  <c r="C276" i="14" s="1"/>
  <c r="A275" i="14"/>
  <c r="B275" i="14" s="1"/>
  <c r="C275" i="14" s="1"/>
  <c r="A274" i="14"/>
  <c r="B274" i="14" s="1"/>
  <c r="C274" i="14" s="1"/>
  <c r="A273" i="14"/>
  <c r="B273" i="14" s="1"/>
  <c r="C273" i="14" s="1"/>
  <c r="A272" i="14"/>
  <c r="B272" i="14" s="1"/>
  <c r="C272" i="14" s="1"/>
  <c r="A271" i="14"/>
  <c r="B271" i="14" s="1"/>
  <c r="C271" i="14" s="1"/>
  <c r="A270" i="14"/>
  <c r="B270" i="14" s="1"/>
  <c r="C270" i="14" s="1"/>
  <c r="A269" i="14"/>
  <c r="B269" i="14" s="1"/>
  <c r="C269" i="14" s="1"/>
  <c r="A268" i="14"/>
  <c r="B268" i="14" s="1"/>
  <c r="C268" i="14" s="1"/>
  <c r="A267" i="14"/>
  <c r="B267" i="14" s="1"/>
  <c r="C267" i="14" s="1"/>
  <c r="A266" i="14"/>
  <c r="B266" i="14" s="1"/>
  <c r="C266" i="14" s="1"/>
  <c r="A265" i="14"/>
  <c r="B265" i="14" s="1"/>
  <c r="C265" i="14" s="1"/>
  <c r="A264" i="14"/>
  <c r="B264" i="14" s="1"/>
  <c r="C264" i="14" s="1"/>
  <c r="A263" i="14"/>
  <c r="B263" i="14" s="1"/>
  <c r="C263" i="14" s="1"/>
  <c r="A262" i="14"/>
  <c r="B262" i="14" s="1"/>
  <c r="C262" i="14" s="1"/>
  <c r="A261" i="14"/>
  <c r="B261" i="14" s="1"/>
  <c r="C261" i="14" s="1"/>
  <c r="A260" i="14"/>
  <c r="B260" i="14" s="1"/>
  <c r="C260" i="14" s="1"/>
  <c r="A259" i="14"/>
  <c r="B259" i="14" s="1"/>
  <c r="C259" i="14" s="1"/>
  <c r="A258" i="14"/>
  <c r="B258" i="14" s="1"/>
  <c r="C258" i="14" s="1"/>
  <c r="A257" i="14"/>
  <c r="B257" i="14" s="1"/>
  <c r="C257" i="14" s="1"/>
  <c r="A256" i="14"/>
  <c r="B256" i="14" s="1"/>
  <c r="C256" i="14" s="1"/>
  <c r="A255" i="14"/>
  <c r="B255" i="14" s="1"/>
  <c r="C255" i="14" s="1"/>
  <c r="A254" i="14"/>
  <c r="B254" i="14" s="1"/>
  <c r="C254" i="14" s="1"/>
  <c r="A253" i="14"/>
  <c r="B253" i="14" s="1"/>
  <c r="C253" i="14" s="1"/>
  <c r="A252" i="14"/>
  <c r="B252" i="14" s="1"/>
  <c r="C252" i="14" s="1"/>
  <c r="A251" i="14"/>
  <c r="B251" i="14" s="1"/>
  <c r="C251" i="14" s="1"/>
  <c r="A250" i="14"/>
  <c r="B250" i="14" s="1"/>
  <c r="C250" i="14" s="1"/>
  <c r="A249" i="14"/>
  <c r="B249" i="14" s="1"/>
  <c r="C249" i="14" s="1"/>
  <c r="A248" i="14"/>
  <c r="B248" i="14" s="1"/>
  <c r="C248" i="14" s="1"/>
  <c r="A247" i="14"/>
  <c r="B247" i="14" s="1"/>
  <c r="C247" i="14" s="1"/>
  <c r="A246" i="14"/>
  <c r="B246" i="14" s="1"/>
  <c r="C246" i="14" s="1"/>
  <c r="A245" i="14"/>
  <c r="B245" i="14" s="1"/>
  <c r="C245" i="14" s="1"/>
  <c r="A244" i="14"/>
  <c r="B244" i="14" s="1"/>
  <c r="C244" i="14" s="1"/>
  <c r="A243" i="14"/>
  <c r="B243" i="14" s="1"/>
  <c r="C243" i="14" s="1"/>
  <c r="A242" i="14"/>
  <c r="B242" i="14" s="1"/>
  <c r="C242" i="14" s="1"/>
  <c r="A241" i="14"/>
  <c r="B241" i="14" s="1"/>
  <c r="C241" i="14" s="1"/>
  <c r="A240" i="14"/>
  <c r="B240" i="14" s="1"/>
  <c r="C240" i="14" s="1"/>
  <c r="A239" i="14"/>
  <c r="B239" i="14" s="1"/>
  <c r="C239" i="14" s="1"/>
  <c r="A238" i="14"/>
  <c r="B238" i="14" s="1"/>
  <c r="C238" i="14" s="1"/>
  <c r="A237" i="14"/>
  <c r="B237" i="14" s="1"/>
  <c r="C237" i="14" s="1"/>
  <c r="A236" i="14"/>
  <c r="B236" i="14" s="1"/>
  <c r="C236" i="14" s="1"/>
  <c r="A235" i="14"/>
  <c r="B235" i="14" s="1"/>
  <c r="C235" i="14" s="1"/>
  <c r="A234" i="14"/>
  <c r="B234" i="14" s="1"/>
  <c r="C234" i="14" s="1"/>
  <c r="A233" i="14"/>
  <c r="B233" i="14" s="1"/>
  <c r="C233" i="14" s="1"/>
  <c r="A232" i="14"/>
  <c r="B232" i="14" s="1"/>
  <c r="C232" i="14" s="1"/>
  <c r="A231" i="14"/>
  <c r="B231" i="14" s="1"/>
  <c r="C231" i="14" s="1"/>
  <c r="A230" i="14"/>
  <c r="B230" i="14" s="1"/>
  <c r="C230" i="14" s="1"/>
  <c r="A229" i="14"/>
  <c r="B229" i="14" s="1"/>
  <c r="C229" i="14" s="1"/>
  <c r="A228" i="14"/>
  <c r="B228" i="14" s="1"/>
  <c r="C228" i="14" s="1"/>
  <c r="A227" i="14"/>
  <c r="B227" i="14" s="1"/>
  <c r="C227" i="14" s="1"/>
  <c r="A226" i="14"/>
  <c r="B226" i="14" s="1"/>
  <c r="C226" i="14" s="1"/>
  <c r="A225" i="14"/>
  <c r="B225" i="14" s="1"/>
  <c r="C225" i="14" s="1"/>
  <c r="A224" i="14"/>
  <c r="B224" i="14" s="1"/>
  <c r="C224" i="14" s="1"/>
  <c r="A223" i="14"/>
  <c r="B223" i="14" s="1"/>
  <c r="C223" i="14" s="1"/>
  <c r="A222" i="14"/>
  <c r="B222" i="14" s="1"/>
  <c r="C222" i="14" s="1"/>
  <c r="A221" i="14"/>
  <c r="B221" i="14" s="1"/>
  <c r="C221" i="14" s="1"/>
  <c r="A220" i="14"/>
  <c r="B220" i="14" s="1"/>
  <c r="C220" i="14" s="1"/>
  <c r="A219" i="14"/>
  <c r="B219" i="14" s="1"/>
  <c r="C219" i="14" s="1"/>
  <c r="A218" i="14"/>
  <c r="B218" i="14" s="1"/>
  <c r="C218" i="14" s="1"/>
  <c r="A217" i="14"/>
  <c r="B217" i="14" s="1"/>
  <c r="C217" i="14" s="1"/>
  <c r="A216" i="14"/>
  <c r="B216" i="14" s="1"/>
  <c r="C216" i="14" s="1"/>
  <c r="A215" i="14"/>
  <c r="B215" i="14" s="1"/>
  <c r="C215" i="14" s="1"/>
  <c r="A214" i="14"/>
  <c r="B214" i="14" s="1"/>
  <c r="C214" i="14" s="1"/>
  <c r="A213" i="14"/>
  <c r="B213" i="14" s="1"/>
  <c r="C213" i="14" s="1"/>
  <c r="A212" i="14"/>
  <c r="B212" i="14" s="1"/>
  <c r="C212" i="14" s="1"/>
  <c r="A211" i="14"/>
  <c r="B211" i="14" s="1"/>
  <c r="C211" i="14" s="1"/>
  <c r="A210" i="14"/>
  <c r="B210" i="14" s="1"/>
  <c r="C210" i="14" s="1"/>
  <c r="A209" i="14"/>
  <c r="B209" i="14" s="1"/>
  <c r="C209" i="14" s="1"/>
  <c r="A208" i="14"/>
  <c r="B208" i="14" s="1"/>
  <c r="C208" i="14" s="1"/>
  <c r="A207" i="14"/>
  <c r="B207" i="14" s="1"/>
  <c r="C207" i="14" s="1"/>
  <c r="A206" i="14"/>
  <c r="B206" i="14" s="1"/>
  <c r="C206" i="14" s="1"/>
  <c r="A205" i="14"/>
  <c r="B205" i="14" s="1"/>
  <c r="C205" i="14" s="1"/>
  <c r="A204" i="14"/>
  <c r="B204" i="14" s="1"/>
  <c r="C204" i="14" s="1"/>
  <c r="A203" i="14"/>
  <c r="B203" i="14" s="1"/>
  <c r="C203" i="14" s="1"/>
  <c r="A202" i="14"/>
  <c r="B202" i="14" s="1"/>
  <c r="C202" i="14" s="1"/>
  <c r="A201" i="14"/>
  <c r="B201" i="14" s="1"/>
  <c r="C201" i="14" s="1"/>
  <c r="A200" i="14"/>
  <c r="B200" i="14" s="1"/>
  <c r="C200" i="14" s="1"/>
  <c r="A199" i="14"/>
  <c r="B199" i="14" s="1"/>
  <c r="C199" i="14" s="1"/>
  <c r="A198" i="14"/>
  <c r="B198" i="14" s="1"/>
  <c r="C198" i="14" s="1"/>
  <c r="A197" i="14"/>
  <c r="B197" i="14" s="1"/>
  <c r="C197" i="14" s="1"/>
  <c r="A196" i="14"/>
  <c r="B196" i="14" s="1"/>
  <c r="C196" i="14" s="1"/>
  <c r="A195" i="14"/>
  <c r="B195" i="14" s="1"/>
  <c r="C195" i="14" s="1"/>
  <c r="A194" i="14"/>
  <c r="B194" i="14" s="1"/>
  <c r="C194" i="14" s="1"/>
  <c r="A193" i="14"/>
  <c r="B193" i="14" s="1"/>
  <c r="C193" i="14" s="1"/>
  <c r="A192" i="14"/>
  <c r="B192" i="14" s="1"/>
  <c r="C192" i="14" s="1"/>
  <c r="A191" i="14"/>
  <c r="B191" i="14" s="1"/>
  <c r="C191" i="14" s="1"/>
  <c r="A190" i="14"/>
  <c r="B190" i="14" s="1"/>
  <c r="C190" i="14" s="1"/>
  <c r="A189" i="14"/>
  <c r="B189" i="14" s="1"/>
  <c r="C189" i="14" s="1"/>
  <c r="A188" i="14"/>
  <c r="B188" i="14" s="1"/>
  <c r="C188" i="14" s="1"/>
  <c r="A187" i="14"/>
  <c r="B187" i="14" s="1"/>
  <c r="C187" i="14" s="1"/>
  <c r="A186" i="14"/>
  <c r="B186" i="14" s="1"/>
  <c r="C186" i="14" s="1"/>
  <c r="A185" i="14"/>
  <c r="B185" i="14" s="1"/>
  <c r="C185" i="14" s="1"/>
  <c r="A184" i="14"/>
  <c r="B184" i="14" s="1"/>
  <c r="C184" i="14" s="1"/>
  <c r="C183" i="14"/>
  <c r="C182" i="14"/>
  <c r="C181" i="14"/>
  <c r="C180" i="14"/>
  <c r="C179" i="14"/>
  <c r="C178" i="14"/>
  <c r="C173" i="14"/>
  <c r="E37" i="13" s="1"/>
  <c r="C172" i="14"/>
  <c r="F24" i="13" s="1"/>
  <c r="C171" i="14"/>
  <c r="B4" i="14"/>
  <c r="C4" i="14" s="1"/>
  <c r="B170" i="14"/>
  <c r="C170" i="14" s="1"/>
  <c r="F15" i="13" s="1"/>
  <c r="B169" i="14"/>
  <c r="C169" i="14" s="1"/>
  <c r="B168" i="14"/>
  <c r="C168" i="14" s="1"/>
  <c r="B167" i="14"/>
  <c r="C167" i="14" s="1"/>
  <c r="B166" i="14"/>
  <c r="C166" i="14" s="1"/>
  <c r="B165" i="14"/>
  <c r="C165" i="14" s="1"/>
  <c r="B164" i="14"/>
  <c r="C164" i="14" s="1"/>
  <c r="B163" i="14"/>
  <c r="C163" i="14" s="1"/>
  <c r="B161" i="14"/>
  <c r="C161" i="14" s="1"/>
  <c r="B160" i="14"/>
  <c r="C160" i="14" s="1"/>
  <c r="B159" i="14"/>
  <c r="C159" i="14" s="1"/>
  <c r="B158" i="14"/>
  <c r="C158" i="14" s="1"/>
  <c r="B157" i="14"/>
  <c r="C157" i="14" s="1"/>
  <c r="B156" i="14"/>
  <c r="C156" i="14" s="1"/>
  <c r="B155" i="14"/>
  <c r="C155" i="14" s="1"/>
  <c r="B154" i="14"/>
  <c r="C154" i="14" s="1"/>
  <c r="B153" i="14"/>
  <c r="C153" i="14" s="1"/>
  <c r="B152" i="14"/>
  <c r="C152" i="14" s="1"/>
  <c r="B151" i="14"/>
  <c r="C151" i="14" s="1"/>
  <c r="B150" i="14"/>
  <c r="C150" i="14" s="1"/>
  <c r="B149" i="14"/>
  <c r="C149" i="14" s="1"/>
  <c r="B148" i="14"/>
  <c r="C148" i="14" s="1"/>
  <c r="B147" i="14"/>
  <c r="C147" i="14" s="1"/>
  <c r="B146" i="14"/>
  <c r="C146" i="14" s="1"/>
  <c r="B145" i="14"/>
  <c r="C145" i="14" s="1"/>
  <c r="B144" i="14"/>
  <c r="C144" i="14" s="1"/>
  <c r="B143" i="14"/>
  <c r="C143" i="14" s="1"/>
  <c r="B142" i="14"/>
  <c r="C142" i="14" s="1"/>
  <c r="B141" i="14"/>
  <c r="C141" i="14" s="1"/>
  <c r="B140" i="14"/>
  <c r="C140" i="14" s="1"/>
  <c r="B139" i="14"/>
  <c r="C139" i="14" s="1"/>
  <c r="B138" i="14"/>
  <c r="C138" i="14" s="1"/>
  <c r="B137" i="14"/>
  <c r="C137" i="14" s="1"/>
  <c r="B136" i="14"/>
  <c r="C136" i="14" s="1"/>
  <c r="B135" i="14"/>
  <c r="C135" i="14" s="1"/>
  <c r="B134" i="14"/>
  <c r="C134" i="14" s="1"/>
  <c r="B133" i="14"/>
  <c r="C133" i="14" s="1"/>
  <c r="B132" i="14"/>
  <c r="C132" i="14" s="1"/>
  <c r="B131" i="14"/>
  <c r="C131" i="14" s="1"/>
  <c r="B130" i="14"/>
  <c r="C130" i="14" s="1"/>
  <c r="B129" i="14"/>
  <c r="C129" i="14" s="1"/>
  <c r="B128" i="14"/>
  <c r="C128" i="14" s="1"/>
  <c r="B127" i="14"/>
  <c r="C127" i="14" s="1"/>
  <c r="B46" i="14"/>
  <c r="C46" i="14" s="1"/>
  <c r="B125" i="14"/>
  <c r="C125" i="14" s="1"/>
  <c r="B124" i="14"/>
  <c r="C124" i="14" s="1"/>
  <c r="B123" i="14"/>
  <c r="C123" i="14" s="1"/>
  <c r="B122" i="14"/>
  <c r="C122" i="14" s="1"/>
  <c r="F13" i="13" s="1"/>
  <c r="B121" i="14"/>
  <c r="C121" i="14" s="1"/>
  <c r="B120" i="14"/>
  <c r="C120" i="14" s="1"/>
  <c r="B119" i="14"/>
  <c r="C119" i="14" s="1"/>
  <c r="B118" i="14"/>
  <c r="C118" i="14" s="1"/>
  <c r="B117" i="14"/>
  <c r="C117" i="14" s="1"/>
  <c r="B116" i="14"/>
  <c r="C116" i="14" s="1"/>
  <c r="B115" i="14"/>
  <c r="C115" i="14" s="1"/>
  <c r="B114" i="14"/>
  <c r="C114" i="14" s="1"/>
  <c r="F39" i="13" s="1"/>
  <c r="B113" i="14"/>
  <c r="C113" i="14" s="1"/>
  <c r="B112" i="14"/>
  <c r="C112" i="14" s="1"/>
  <c r="B111" i="14"/>
  <c r="C111" i="14" s="1"/>
  <c r="B110" i="14"/>
  <c r="C110" i="14" s="1"/>
  <c r="B109" i="14"/>
  <c r="C109" i="14" s="1"/>
  <c r="B108" i="14"/>
  <c r="C108" i="14" s="1"/>
  <c r="B107" i="14"/>
  <c r="C107" i="14" s="1"/>
  <c r="B106" i="14"/>
  <c r="C106" i="14" s="1"/>
  <c r="B105" i="14"/>
  <c r="C105" i="14" s="1"/>
  <c r="B104" i="14"/>
  <c r="C104" i="14" s="1"/>
  <c r="B103" i="14"/>
  <c r="C103" i="14" s="1"/>
  <c r="B102" i="14"/>
  <c r="C102" i="14" s="1"/>
  <c r="B101" i="14"/>
  <c r="C101" i="14" s="1"/>
  <c r="B100" i="14"/>
  <c r="C100" i="14" s="1"/>
  <c r="B99" i="14"/>
  <c r="C99" i="14" s="1"/>
  <c r="B98" i="14"/>
  <c r="C98" i="14" s="1"/>
  <c r="B97" i="14"/>
  <c r="C97" i="14" s="1"/>
  <c r="B96" i="14"/>
  <c r="C96" i="14" s="1"/>
  <c r="B95" i="14"/>
  <c r="C95" i="14" s="1"/>
  <c r="B94" i="14"/>
  <c r="C94" i="14" s="1"/>
  <c r="B93" i="14"/>
  <c r="C93" i="14" s="1"/>
  <c r="B28" i="14"/>
  <c r="C28" i="14" s="1"/>
  <c r="B91" i="14"/>
  <c r="C91" i="14" s="1"/>
  <c r="B90" i="14"/>
  <c r="C90" i="14" s="1"/>
  <c r="B89" i="14"/>
  <c r="C89" i="14" s="1"/>
  <c r="B88" i="14"/>
  <c r="C88" i="14" s="1"/>
  <c r="B87" i="14"/>
  <c r="C87" i="14" s="1"/>
  <c r="B86" i="14"/>
  <c r="C86" i="14" s="1"/>
  <c r="B85" i="14"/>
  <c r="C85" i="14" s="1"/>
  <c r="B84" i="14"/>
  <c r="C84" i="14" s="1"/>
  <c r="B83" i="14"/>
  <c r="C83" i="14" s="1"/>
  <c r="B82" i="14"/>
  <c r="C82" i="14" s="1"/>
  <c r="B81" i="14"/>
  <c r="C81" i="14" s="1"/>
  <c r="B80" i="14"/>
  <c r="C80" i="14" s="1"/>
  <c r="B79" i="14"/>
  <c r="C79" i="14" s="1"/>
  <c r="B78" i="14"/>
  <c r="C78" i="14" s="1"/>
  <c r="B77" i="14"/>
  <c r="C77" i="14" s="1"/>
  <c r="B76" i="14"/>
  <c r="C76" i="14" s="1"/>
  <c r="B75" i="14"/>
  <c r="C75" i="14" s="1"/>
  <c r="B74" i="14"/>
  <c r="C74" i="14" s="1"/>
  <c r="B73" i="14"/>
  <c r="C73" i="14" s="1"/>
  <c r="B72" i="14"/>
  <c r="C72" i="14" s="1"/>
  <c r="B71" i="14"/>
  <c r="C71" i="14" s="1"/>
  <c r="B70" i="14"/>
  <c r="C70" i="14" s="1"/>
  <c r="B69" i="14"/>
  <c r="C69" i="14" s="1"/>
  <c r="B68" i="14"/>
  <c r="C68" i="14" s="1"/>
  <c r="B67" i="14"/>
  <c r="C67" i="14" s="1"/>
  <c r="E10" i="13" s="1"/>
  <c r="B66" i="14"/>
  <c r="C66" i="14" s="1"/>
  <c r="B65" i="14"/>
  <c r="C65" i="14" s="1"/>
  <c r="B64" i="14"/>
  <c r="C64" i="14" s="1"/>
  <c r="B63" i="14"/>
  <c r="C63" i="14" s="1"/>
  <c r="B62" i="14"/>
  <c r="C62" i="14" s="1"/>
  <c r="B61" i="14"/>
  <c r="C61" i="14" s="1"/>
  <c r="B60" i="14"/>
  <c r="C60" i="14" s="1"/>
  <c r="B59" i="14"/>
  <c r="C59" i="14" s="1"/>
  <c r="B58" i="14"/>
  <c r="C58" i="14" s="1"/>
  <c r="B57" i="14"/>
  <c r="C57" i="14" s="1"/>
  <c r="B56" i="14"/>
  <c r="C56" i="14" s="1"/>
  <c r="B55" i="14"/>
  <c r="C55" i="14" s="1"/>
  <c r="B54" i="14"/>
  <c r="C54" i="14" s="1"/>
  <c r="B53" i="14"/>
  <c r="C53" i="14" s="1"/>
  <c r="B52" i="14"/>
  <c r="C52" i="14" s="1"/>
  <c r="B51" i="14"/>
  <c r="C51" i="14" s="1"/>
  <c r="B50" i="14"/>
  <c r="C50" i="14" s="1"/>
  <c r="B49" i="14"/>
  <c r="C49" i="14" s="1"/>
  <c r="B48" i="14"/>
  <c r="C48" i="14" s="1"/>
  <c r="B47" i="14"/>
  <c r="C47" i="14" s="1"/>
  <c r="B126" i="14"/>
  <c r="C126" i="14" s="1"/>
  <c r="B45" i="14"/>
  <c r="C45" i="14" s="1"/>
  <c r="B43" i="14"/>
  <c r="C43" i="14" s="1"/>
  <c r="B42" i="14"/>
  <c r="C42" i="14" s="1"/>
  <c r="B41" i="14"/>
  <c r="C41" i="14" s="1"/>
  <c r="B40" i="14"/>
  <c r="C40" i="14" s="1"/>
  <c r="B39" i="14"/>
  <c r="C39" i="14" s="1"/>
  <c r="B38" i="14"/>
  <c r="C38" i="14" s="1"/>
  <c r="B37" i="14"/>
  <c r="C37" i="14" s="1"/>
  <c r="B36" i="14"/>
  <c r="C36" i="14" s="1"/>
  <c r="B35" i="14"/>
  <c r="C35" i="14" s="1"/>
  <c r="B34" i="14"/>
  <c r="C34" i="14" s="1"/>
  <c r="B33" i="14"/>
  <c r="C33" i="14" s="1"/>
  <c r="E33" i="13" s="1"/>
  <c r="B32" i="14"/>
  <c r="C32" i="14" s="1"/>
  <c r="F21" i="13" s="1"/>
  <c r="B31" i="14"/>
  <c r="C31" i="14" s="1"/>
  <c r="B30" i="14"/>
  <c r="C30" i="14" s="1"/>
  <c r="B29" i="14"/>
  <c r="C29" i="14" s="1"/>
  <c r="H20" i="13"/>
  <c r="J20" i="13" s="1"/>
  <c r="B27" i="14"/>
  <c r="C27" i="14" s="1"/>
  <c r="B26" i="14"/>
  <c r="C26" i="14" s="1"/>
  <c r="B25" i="14"/>
  <c r="C25" i="14" s="1"/>
  <c r="E26" i="13" s="1"/>
  <c r="B24" i="14"/>
  <c r="C24" i="14" s="1"/>
  <c r="B23" i="14"/>
  <c r="C23" i="14" s="1"/>
  <c r="B22" i="14"/>
  <c r="C22" i="14" s="1"/>
  <c r="B21" i="14"/>
  <c r="C21" i="14" s="1"/>
  <c r="B20" i="14"/>
  <c r="C20" i="14" s="1"/>
  <c r="B19" i="14"/>
  <c r="C19" i="14" s="1"/>
  <c r="B18" i="14"/>
  <c r="C18" i="14" s="1"/>
  <c r="B17" i="14"/>
  <c r="C17" i="14" s="1"/>
  <c r="E35" i="13" s="1"/>
  <c r="B16" i="14"/>
  <c r="C16" i="14" s="1"/>
  <c r="B15" i="14"/>
  <c r="C15" i="14" s="1"/>
  <c r="B14" i="14"/>
  <c r="C14" i="14" s="1"/>
  <c r="B13" i="14"/>
  <c r="C13" i="14" s="1"/>
  <c r="B12" i="14"/>
  <c r="C12" i="14" s="1"/>
  <c r="B11" i="14"/>
  <c r="C11" i="14" s="1"/>
  <c r="E27" i="13" s="1"/>
  <c r="B10" i="14"/>
  <c r="C10" i="14" s="1"/>
  <c r="B9" i="14"/>
  <c r="C9" i="14" s="1"/>
  <c r="E11" i="13" s="1"/>
  <c r="B8" i="14"/>
  <c r="C8" i="14" s="1"/>
  <c r="F7" i="13" s="1"/>
  <c r="B7" i="14"/>
  <c r="C7" i="14" s="1"/>
  <c r="B6" i="14"/>
  <c r="C6" i="14" s="1"/>
  <c r="B5" i="14"/>
  <c r="C5" i="14" s="1"/>
  <c r="B162" i="14"/>
  <c r="C162" i="14" s="1"/>
  <c r="B44" i="14"/>
  <c r="C44" i="14" s="1"/>
  <c r="B92" i="14"/>
  <c r="C92" i="14" s="1"/>
  <c r="H22" i="13"/>
  <c r="J22" i="13" s="1"/>
  <c r="D14" i="16" s="1"/>
  <c r="H18" i="13"/>
  <c r="G8" i="13"/>
  <c r="H35" i="13"/>
  <c r="H8" i="13"/>
  <c r="E7" i="13" l="1"/>
  <c r="G7" i="13" s="1"/>
  <c r="E34" i="13"/>
  <c r="E28" i="13"/>
  <c r="G28" i="13" s="1"/>
  <c r="J28" i="13" s="1"/>
  <c r="M28" i="18" s="1"/>
  <c r="E9" i="13"/>
  <c r="G9" i="13" s="1"/>
  <c r="E4" i="13"/>
  <c r="F38" i="13"/>
  <c r="H38" i="13" s="1"/>
  <c r="J38" i="13" s="1"/>
  <c r="M36" i="18" s="1"/>
  <c r="N36" i="18" s="1"/>
  <c r="F9" i="13"/>
  <c r="H9" i="13" s="1"/>
  <c r="D12" i="16"/>
  <c r="M22" i="18"/>
  <c r="N22" i="18" s="1"/>
  <c r="C335" i="14"/>
  <c r="H11" i="13"/>
  <c r="G13" i="13"/>
  <c r="G21" i="13"/>
  <c r="G11" i="13"/>
  <c r="G10" i="13"/>
  <c r="G12" i="13"/>
  <c r="J12" i="13" s="1"/>
  <c r="M13" i="18" s="1"/>
  <c r="G6" i="13"/>
  <c r="J6" i="13" s="1"/>
  <c r="M6" i="18" s="1"/>
  <c r="H10" i="13"/>
  <c r="E88" i="12"/>
  <c r="G88" i="12" s="1"/>
  <c r="G37" i="13"/>
  <c r="J37" i="13" s="1"/>
  <c r="H19" i="13"/>
  <c r="H39" i="13"/>
  <c r="J39" i="13" s="1"/>
  <c r="M37" i="18" s="1"/>
  <c r="N37" i="18" s="1"/>
  <c r="H14" i="13"/>
  <c r="H24" i="13"/>
  <c r="J24" i="13" s="1"/>
  <c r="G26" i="13"/>
  <c r="J26" i="13" s="1"/>
  <c r="M26" i="18" s="1"/>
  <c r="G29" i="13"/>
  <c r="J29" i="13" s="1"/>
  <c r="M29" i="18" s="1"/>
  <c r="H13" i="13"/>
  <c r="G35" i="13"/>
  <c r="J35" i="13" s="1"/>
  <c r="M35" i="18" s="1"/>
  <c r="N35" i="18" s="1"/>
  <c r="H15" i="13"/>
  <c r="G14" i="13"/>
  <c r="H21" i="13"/>
  <c r="G15" i="13"/>
  <c r="G34" i="13"/>
  <c r="J34" i="13" s="1"/>
  <c r="M34" i="18" s="1"/>
  <c r="G36" i="13"/>
  <c r="J36" i="13" s="1"/>
  <c r="G33" i="13"/>
  <c r="J33" i="13" s="1"/>
  <c r="M33" i="18" s="1"/>
  <c r="H31" i="13"/>
  <c r="G27" i="13"/>
  <c r="J27" i="13" s="1"/>
  <c r="M27" i="18" s="1"/>
  <c r="G25" i="13"/>
  <c r="J25" i="13" s="1"/>
  <c r="M25" i="18" s="1"/>
  <c r="H7" i="13"/>
  <c r="G31" i="13"/>
  <c r="H23" i="13"/>
  <c r="J23" i="13" s="1"/>
  <c r="D15" i="16" s="1"/>
  <c r="G18" i="13"/>
  <c r="J18" i="13" s="1"/>
  <c r="M20" i="18" s="1"/>
  <c r="N20" i="18" s="1"/>
  <c r="H17" i="13"/>
  <c r="J17" i="13" s="1"/>
  <c r="M19" i="18" s="1"/>
  <c r="N19" i="18" s="1"/>
  <c r="G30" i="13"/>
  <c r="J30" i="13" s="1"/>
  <c r="M30" i="18" s="1"/>
  <c r="N30" i="18" s="1"/>
  <c r="J8" i="13"/>
  <c r="M8" i="18" s="1"/>
  <c r="H4" i="13"/>
  <c r="C10" i="21" l="1"/>
  <c r="M24" i="18"/>
  <c r="N24" i="18" s="1"/>
  <c r="J15" i="13"/>
  <c r="M18" i="18" s="1"/>
  <c r="E89" i="12"/>
  <c r="G89" i="12" s="1"/>
  <c r="N27" i="18"/>
  <c r="J13" i="13"/>
  <c r="M14" i="18" s="1"/>
  <c r="J19" i="13"/>
  <c r="M21" i="18" s="1"/>
  <c r="N21" i="18" s="1"/>
  <c r="J14" i="13"/>
  <c r="M15" i="18" s="1"/>
  <c r="J11" i="13"/>
  <c r="M11" i="18" s="1"/>
  <c r="J31" i="13"/>
  <c r="M38" i="13"/>
  <c r="J4" i="13"/>
  <c r="G4" i="13"/>
  <c r="G40" i="13" s="1"/>
  <c r="N17" i="18"/>
  <c r="M33" i="13"/>
  <c r="C15" i="20"/>
  <c r="C14" i="20"/>
  <c r="J10" i="13"/>
  <c r="M10" i="18" s="1"/>
  <c r="H40" i="13"/>
  <c r="F40" i="13"/>
  <c r="E40" i="13"/>
  <c r="J21" i="13"/>
  <c r="M23" i="18" s="1"/>
  <c r="J7" i="13"/>
  <c r="M7" i="18" s="1"/>
  <c r="J9" i="13"/>
  <c r="M9" i="18" s="1"/>
  <c r="B6" i="22"/>
  <c r="E14" i="16"/>
  <c r="C22" i="20"/>
  <c r="C21" i="20"/>
  <c r="E15" i="16"/>
  <c r="N6" i="18"/>
  <c r="E12" i="16"/>
  <c r="C8" i="21" l="1"/>
  <c r="J42" i="13"/>
  <c r="G22" i="16" s="1"/>
  <c r="M31" i="18"/>
  <c r="N31" i="18" s="1"/>
  <c r="C26" i="4"/>
  <c r="C27" i="4" s="1"/>
  <c r="C17" i="21"/>
  <c r="C14" i="23" s="1"/>
  <c r="E90" i="12"/>
  <c r="G90" i="12" s="1"/>
  <c r="C32" i="4"/>
  <c r="C33" i="4" s="1"/>
  <c r="N11" i="18"/>
  <c r="N4" i="13"/>
  <c r="N23" i="18"/>
  <c r="D13" i="16"/>
  <c r="E13" i="16" s="1"/>
  <c r="E16" i="16" s="1"/>
  <c r="I16" i="16" s="1"/>
  <c r="N9" i="18"/>
  <c r="C9" i="4"/>
  <c r="C10" i="4" s="1"/>
  <c r="N14" i="18"/>
  <c r="N10" i="18"/>
  <c r="C19" i="21"/>
  <c r="C30" i="23" s="1"/>
  <c r="C36" i="21"/>
  <c r="N20" i="13"/>
  <c r="C29" i="21" s="1"/>
  <c r="F29" i="21" s="1"/>
  <c r="N33" i="18"/>
  <c r="N28" i="18"/>
  <c r="C24" i="21"/>
  <c r="N18" i="18"/>
  <c r="C10" i="20"/>
  <c r="N8" i="18"/>
  <c r="N29" i="18"/>
  <c r="N34" i="18"/>
  <c r="N12" i="18"/>
  <c r="N13" i="18"/>
  <c r="N25" i="18"/>
  <c r="N15" i="18"/>
  <c r="N16" i="18"/>
  <c r="C9" i="20"/>
  <c r="B10" i="22"/>
  <c r="D6" i="22"/>
  <c r="C44" i="16" l="1"/>
  <c r="E44" i="16" s="1"/>
  <c r="J43" i="13"/>
  <c r="C25" i="21" s="1"/>
  <c r="M42" i="18"/>
  <c r="C12" i="23"/>
  <c r="E91" i="12"/>
  <c r="G91" i="12" s="1"/>
  <c r="J16" i="16"/>
  <c r="M16" i="16" s="1"/>
  <c r="C9" i="21"/>
  <c r="C38" i="21"/>
  <c r="C20" i="21"/>
  <c r="D3" i="16"/>
  <c r="E3" i="16" s="1"/>
  <c r="E5" i="16" s="1"/>
  <c r="J40" i="13"/>
  <c r="M40" i="18" s="1"/>
  <c r="N40" i="18" s="1"/>
  <c r="N7" i="18"/>
  <c r="M4" i="18"/>
  <c r="N4" i="18" s="1"/>
  <c r="C59" i="16"/>
  <c r="E59" i="16" s="1"/>
  <c r="C16" i="20"/>
  <c r="N26" i="18"/>
  <c r="N42" i="18" s="1"/>
  <c r="I5" i="16" l="1"/>
  <c r="J5" i="16" s="1"/>
  <c r="C8" i="22"/>
  <c r="C10" i="22" s="1"/>
  <c r="M43" i="18"/>
  <c r="C19" i="20"/>
  <c r="C23" i="20" s="1"/>
  <c r="C3" i="23"/>
  <c r="C22" i="23" s="1"/>
  <c r="C24" i="23" s="1"/>
  <c r="C28" i="23" s="1"/>
  <c r="E92" i="12"/>
  <c r="G92" i="12" s="1"/>
  <c r="N41" i="18"/>
  <c r="H10" i="6"/>
  <c r="C26" i="21"/>
  <c r="C49" i="16"/>
  <c r="C56" i="16" l="1"/>
  <c r="C25" i="20"/>
  <c r="C29" i="20" s="1"/>
  <c r="C32" i="20" s="1"/>
  <c r="E93" i="12"/>
  <c r="G93" i="12" s="1"/>
  <c r="E56" i="16"/>
  <c r="E61" i="16" s="1"/>
  <c r="C61" i="16"/>
  <c r="C46" i="16" s="1"/>
  <c r="M5" i="16"/>
  <c r="J21" i="16"/>
  <c r="J22" i="16" s="1"/>
  <c r="D8" i="22"/>
  <c r="D10" i="22" s="1"/>
  <c r="E94" i="12" l="1"/>
  <c r="E96" i="12" s="1"/>
  <c r="E97" i="12" s="1"/>
  <c r="J26" i="16"/>
  <c r="D37" i="16" s="1"/>
  <c r="E49" i="16" s="1"/>
  <c r="D49" i="16" s="1"/>
  <c r="G94" i="12" l="1"/>
  <c r="G95" i="12" s="1"/>
  <c r="D31" i="1"/>
  <c r="D30" i="1"/>
  <c r="C10" i="6"/>
  <c r="E10" i="6" s="1"/>
  <c r="K19" i="1" l="1"/>
  <c r="K20" i="1" s="1"/>
  <c r="K24" i="1" l="1"/>
  <c r="K22" i="1"/>
  <c r="K25" i="1"/>
  <c r="K23" i="1"/>
  <c r="D109" i="1"/>
  <c r="D107" i="1"/>
  <c r="D108" i="1"/>
  <c r="D106" i="1"/>
  <c r="D105" i="1"/>
  <c r="D104" i="1"/>
  <c r="D103" i="1"/>
  <c r="D102" i="1"/>
  <c r="D101" i="1"/>
  <c r="D100" i="1"/>
  <c r="D99" i="1"/>
  <c r="K26" i="1" s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E11" i="1"/>
  <c r="D25" i="1"/>
  <c r="D23" i="1"/>
  <c r="D19" i="1"/>
  <c r="D18" i="1"/>
  <c r="C11" i="1"/>
  <c r="D29" i="1" l="1"/>
  <c r="E108" i="1"/>
  <c r="I12" i="1"/>
  <c r="F11" i="1"/>
  <c r="E93" i="1"/>
  <c r="E99" i="1"/>
  <c r="E103" i="1"/>
  <c r="E107" i="1"/>
  <c r="E89" i="1"/>
  <c r="E100" i="1"/>
  <c r="E104" i="1"/>
  <c r="I44" i="1"/>
  <c r="E97" i="1"/>
  <c r="E101" i="1"/>
  <c r="E105" i="1"/>
  <c r="E85" i="1"/>
  <c r="E98" i="1"/>
  <c r="E102" i="1"/>
  <c r="E106" i="1"/>
  <c r="D39" i="1"/>
  <c r="E86" i="1"/>
  <c r="E90" i="1"/>
  <c r="E94" i="1"/>
  <c r="E87" i="1"/>
  <c r="E91" i="1"/>
  <c r="E95" i="1"/>
  <c r="E84" i="1"/>
  <c r="E88" i="1"/>
  <c r="E92" i="1"/>
  <c r="D38" i="1"/>
  <c r="G83" i="1" s="1"/>
  <c r="D40" i="1"/>
  <c r="G110" i="1" s="1"/>
  <c r="D20" i="1"/>
  <c r="L23" i="13" l="1"/>
  <c r="G109" i="1"/>
  <c r="G96" i="1"/>
  <c r="B6" i="7" l="1"/>
  <c r="D74" i="1" l="1"/>
  <c r="D75" i="1"/>
  <c r="D76" i="1"/>
  <c r="D77" i="1"/>
  <c r="D78" i="1"/>
  <c r="D79" i="1"/>
  <c r="D80" i="1"/>
  <c r="D81" i="1"/>
  <c r="D82" i="1"/>
  <c r="D71" i="1"/>
  <c r="D72" i="1"/>
  <c r="D73" i="1"/>
  <c r="D70" i="1" l="1"/>
  <c r="D57" i="1"/>
  <c r="D58" i="1"/>
  <c r="D46" i="1"/>
  <c r="D47" i="1"/>
  <c r="D48" i="1"/>
  <c r="D49" i="1"/>
  <c r="D50" i="1"/>
  <c r="D51" i="1"/>
  <c r="D52" i="1"/>
  <c r="D53" i="1"/>
  <c r="D54" i="1"/>
  <c r="D55" i="1"/>
  <c r="D56" i="1"/>
  <c r="D59" i="1"/>
  <c r="D60" i="1"/>
  <c r="D61" i="1"/>
  <c r="D62" i="1"/>
  <c r="D63" i="1"/>
  <c r="D64" i="1"/>
  <c r="D65" i="1"/>
  <c r="D66" i="1"/>
  <c r="D67" i="1"/>
  <c r="D68" i="1"/>
  <c r="D69" i="1"/>
  <c r="D45" i="1"/>
  <c r="K21" i="1" l="1"/>
  <c r="K27" i="1" s="1"/>
  <c r="D35" i="1" l="1"/>
  <c r="G57" i="1" s="1"/>
  <c r="E71" i="1"/>
  <c r="D36" i="1"/>
  <c r="D37" i="1"/>
  <c r="E77" i="1"/>
  <c r="E60" i="1"/>
  <c r="E75" i="1"/>
  <c r="E66" i="1"/>
  <c r="E67" i="1"/>
  <c r="E82" i="1"/>
  <c r="E74" i="1"/>
  <c r="E65" i="1"/>
  <c r="E68" i="1"/>
  <c r="E81" i="1"/>
  <c r="E64" i="1"/>
  <c r="E73" i="1"/>
  <c r="E72" i="1"/>
  <c r="E76" i="1"/>
  <c r="E80" i="1"/>
  <c r="E63" i="1"/>
  <c r="E79" i="1"/>
  <c r="E62" i="1"/>
  <c r="E78" i="1"/>
  <c r="E69" i="1"/>
  <c r="E61" i="1"/>
  <c r="B4" i="6" l="1"/>
  <c r="C4" i="6" s="1"/>
  <c r="E4" i="6" s="1"/>
  <c r="I45" i="1"/>
  <c r="I46" i="1" s="1"/>
  <c r="I47" i="1" s="1"/>
  <c r="I48" i="1" s="1"/>
  <c r="I49" i="1" s="1"/>
  <c r="I50" i="1" s="1"/>
  <c r="I51" i="1" s="1"/>
  <c r="I52" i="1" s="1"/>
  <c r="G44" i="1"/>
  <c r="D41" i="1"/>
  <c r="C41" i="1"/>
  <c r="F4" i="7" s="1"/>
  <c r="G70" i="1"/>
  <c r="I53" i="1" l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H44" i="1"/>
  <c r="F45" i="1" s="1"/>
  <c r="I73" i="1" l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H45" i="1"/>
  <c r="F46" i="1" s="1"/>
  <c r="T3" i="6" l="1"/>
  <c r="Q6" i="6"/>
  <c r="A46" i="1"/>
  <c r="K4" i="7" s="1"/>
  <c r="A4" i="8"/>
  <c r="B3" i="6"/>
  <c r="H46" i="1"/>
  <c r="F47" i="1" s="1"/>
  <c r="C3" i="6" l="1"/>
  <c r="E3" i="6" s="1"/>
  <c r="B6" i="6"/>
  <c r="P5" i="7"/>
  <c r="C33" i="21"/>
  <c r="C6" i="6"/>
  <c r="H47" i="1"/>
  <c r="F48" i="1" s="1"/>
  <c r="C39" i="21" l="1"/>
  <c r="C40" i="21" s="1"/>
  <c r="H48" i="1"/>
  <c r="F49" i="1" s="1"/>
  <c r="H49" i="1" l="1"/>
  <c r="F50" i="1" s="1"/>
  <c r="H50" i="1" l="1"/>
  <c r="G4" i="7" l="1"/>
  <c r="F51" i="1"/>
  <c r="C4" i="7" l="1"/>
  <c r="H51" i="1"/>
  <c r="F52" i="1" s="1"/>
  <c r="H52" i="1" l="1"/>
  <c r="F53" i="1" s="1"/>
  <c r="H53" i="1" l="1"/>
  <c r="F54" i="1" s="1"/>
  <c r="H54" i="1" l="1"/>
  <c r="F55" i="1" s="1"/>
  <c r="H55" i="1" l="1"/>
  <c r="F56" i="1" s="1"/>
  <c r="C6" i="7" l="1"/>
  <c r="G6" i="7"/>
  <c r="H56" i="1"/>
  <c r="F57" i="1" s="1"/>
  <c r="H57" i="1" l="1"/>
  <c r="F58" i="1" s="1"/>
  <c r="H58" i="1" l="1"/>
  <c r="F59" i="1" s="1"/>
  <c r="H59" i="1" l="1"/>
  <c r="F60" i="1" s="1"/>
  <c r="H60" i="1" l="1"/>
  <c r="F61" i="1" s="1"/>
  <c r="H61" i="1" l="1"/>
  <c r="F62" i="1" s="1"/>
  <c r="H62" i="1" l="1"/>
  <c r="F63" i="1" s="1"/>
  <c r="H63" i="1" l="1"/>
  <c r="F64" i="1" s="1"/>
  <c r="H64" i="1" l="1"/>
  <c r="F65" i="1" s="1"/>
  <c r="H65" i="1" l="1"/>
  <c r="F66" i="1" s="1"/>
  <c r="H66" i="1" l="1"/>
  <c r="F67" i="1" s="1"/>
  <c r="H67" i="1" l="1"/>
  <c r="F68" i="1" s="1"/>
  <c r="H68" i="1" l="1"/>
  <c r="F69" i="1" s="1"/>
  <c r="H69" i="1" l="1"/>
  <c r="F70" i="1" s="1"/>
  <c r="H70" i="1" l="1"/>
  <c r="F71" i="1" l="1"/>
  <c r="H71" i="1" s="1"/>
  <c r="F72" i="1" l="1"/>
  <c r="H72" i="1" l="1"/>
  <c r="F73" i="1" s="1"/>
  <c r="H73" i="1" s="1"/>
  <c r="F74" i="1" s="1"/>
  <c r="H74" i="1" l="1"/>
  <c r="F75" i="1" s="1"/>
  <c r="H75" i="1"/>
  <c r="F76" i="1" s="1"/>
  <c r="H76" i="1" l="1"/>
  <c r="F77" i="1" l="1"/>
  <c r="H77" i="1" s="1"/>
  <c r="F78" i="1" l="1"/>
  <c r="H78" i="1" s="1"/>
  <c r="F79" i="1" l="1"/>
  <c r="H79" i="1" s="1"/>
  <c r="F80" i="1" l="1"/>
  <c r="H80" i="1" s="1"/>
  <c r="F81" i="1" l="1"/>
  <c r="H81" i="1" s="1"/>
  <c r="F82" i="1" l="1"/>
  <c r="H82" i="1" s="1"/>
  <c r="F83" i="1" l="1"/>
  <c r="H83" i="1" s="1"/>
  <c r="F84" i="1" l="1"/>
  <c r="H84" i="1" s="1"/>
  <c r="F85" i="1" l="1"/>
  <c r="H85" i="1" s="1"/>
  <c r="F86" i="1" l="1"/>
  <c r="H86" i="1" s="1"/>
  <c r="F87" i="1" l="1"/>
  <c r="H87" i="1" s="1"/>
  <c r="F88" i="1" l="1"/>
  <c r="H88" i="1" s="1"/>
  <c r="F89" i="1" l="1"/>
  <c r="H89" i="1" s="1"/>
  <c r="F90" i="1" l="1"/>
  <c r="H90" i="1" s="1"/>
  <c r="F91" i="1" l="1"/>
  <c r="H91" i="1" s="1"/>
  <c r="F92" i="1" l="1"/>
  <c r="H92" i="1" s="1"/>
  <c r="F93" i="1" l="1"/>
  <c r="H93" i="1" s="1"/>
  <c r="F94" i="1" l="1"/>
  <c r="H94" i="1" s="1"/>
  <c r="F95" i="1" l="1"/>
  <c r="H95" i="1" s="1"/>
  <c r="F96" i="1" l="1"/>
  <c r="H96" i="1" s="1"/>
  <c r="F97" i="1" l="1"/>
  <c r="H97" i="1" s="1"/>
  <c r="F98" i="1" l="1"/>
  <c r="H98" i="1" s="1"/>
  <c r="F99" i="1" l="1"/>
  <c r="H99" i="1" s="1"/>
  <c r="F100" i="1" l="1"/>
  <c r="H100" i="1" s="1"/>
  <c r="F101" i="1" l="1"/>
  <c r="H101" i="1" s="1"/>
  <c r="F102" i="1" l="1"/>
  <c r="H102" i="1" s="1"/>
  <c r="F103" i="1" l="1"/>
  <c r="H103" i="1" s="1"/>
  <c r="F104" i="1" l="1"/>
  <c r="H104" i="1" s="1"/>
  <c r="F105" i="1" l="1"/>
  <c r="H105" i="1" s="1"/>
  <c r="F106" i="1" l="1"/>
  <c r="H106" i="1" s="1"/>
  <c r="F107" i="1" l="1"/>
  <c r="H107" i="1" s="1"/>
  <c r="F108" i="1" l="1"/>
  <c r="H108" i="1" s="1"/>
  <c r="F109" i="1" l="1"/>
  <c r="H109" i="1" l="1"/>
  <c r="H110" i="1" s="1"/>
  <c r="E46" i="16"/>
  <c r="C11" i="21" l="1"/>
  <c r="C21" i="21" s="1"/>
  <c r="F8" i="21"/>
  <c r="M4" i="13" l="1"/>
</calcChain>
</file>

<file path=xl/sharedStrings.xml><?xml version="1.0" encoding="utf-8"?>
<sst xmlns="http://schemas.openxmlformats.org/spreadsheetml/2006/main" count="7768" uniqueCount="1801">
  <si>
    <t>Emise cenných papírů</t>
  </si>
  <si>
    <t>ISIN</t>
  </si>
  <si>
    <t>Datum emise</t>
  </si>
  <si>
    <t>Počet dluhopisů</t>
  </si>
  <si>
    <t>1. tranše</t>
  </si>
  <si>
    <t>Nominální hodnota celkem</t>
  </si>
  <si>
    <t>Datum úhrady emisního kurzu</t>
  </si>
  <si>
    <t>Předpokládaný objem emise</t>
  </si>
  <si>
    <t>Úroková sazba</t>
  </si>
  <si>
    <t>Datum splatnosti</t>
  </si>
  <si>
    <t>Úrok</t>
  </si>
  <si>
    <t>K úhradě</t>
  </si>
  <si>
    <t>Upisovatel</t>
  </si>
  <si>
    <t>J&amp;T</t>
  </si>
  <si>
    <t>Měna</t>
  </si>
  <si>
    <t>EUR</t>
  </si>
  <si>
    <t>CZK</t>
  </si>
  <si>
    <t>NH 1 dluhopisu</t>
  </si>
  <si>
    <t>Úrok do data úhrady</t>
  </si>
  <si>
    <t>Zaplaceno</t>
  </si>
  <si>
    <t>Odměna za umístění dluhopisů</t>
  </si>
  <si>
    <t>společné</t>
  </si>
  <si>
    <t>Naběhlý úrok</t>
  </si>
  <si>
    <t>562 / 473101</t>
  </si>
  <si>
    <t>Ostatní náklady a poplatky</t>
  </si>
  <si>
    <t>Item</t>
  </si>
  <si>
    <t>Date</t>
  </si>
  <si>
    <t>Principal</t>
  </si>
  <si>
    <t>Due date of principal</t>
  </si>
  <si>
    <t>IRR</t>
  </si>
  <si>
    <t>Due date of interest</t>
  </si>
  <si>
    <t>Number of days</t>
  </si>
  <si>
    <t xml:space="preserve">Principal </t>
  </si>
  <si>
    <t>expenses / interest</t>
  </si>
  <si>
    <t>Paid principal /interest</t>
  </si>
  <si>
    <t>interest</t>
  </si>
  <si>
    <t>payment of interest</t>
  </si>
  <si>
    <t>Payment of principal</t>
  </si>
  <si>
    <t>CAS</t>
  </si>
  <si>
    <t>IFRS</t>
  </si>
  <si>
    <t>Burza - přijetí k obchodování</t>
  </si>
  <si>
    <t>Úroky</t>
  </si>
  <si>
    <t>kurz</t>
  </si>
  <si>
    <t>Celkem</t>
  </si>
  <si>
    <t>TB</t>
  </si>
  <si>
    <t>Splatnost</t>
  </si>
  <si>
    <t>Úroková sazba* (%)</t>
  </si>
  <si>
    <t>Efektivní úroková sazba (%)</t>
  </si>
  <si>
    <t xml:space="preserve">Účetní hodnota </t>
  </si>
  <si>
    <t>-</t>
  </si>
  <si>
    <t>v tisících EUR</t>
  </si>
  <si>
    <t>TB celkem</t>
  </si>
  <si>
    <t>SB - zaplatit EUR</t>
  </si>
  <si>
    <t>Smluvní peněžní toky</t>
  </si>
  <si>
    <t>SB celkem</t>
  </si>
  <si>
    <t>SB pouze úroky za 2019-EUR</t>
  </si>
  <si>
    <t>úroky</t>
  </si>
  <si>
    <t>Množství</t>
  </si>
  <si>
    <t>Datum</t>
  </si>
  <si>
    <t>Kurz</t>
  </si>
  <si>
    <t>03.01.2019</t>
  </si>
  <si>
    <t>04.01.2019</t>
  </si>
  <si>
    <t>07.01.2019</t>
  </si>
  <si>
    <t>08.01.2019</t>
  </si>
  <si>
    <t>09.01.2019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</si>
  <si>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</si>
  <si>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</si>
  <si>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</si>
  <si>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</si>
  <si>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</si>
  <si>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</si>
  <si>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</si>
  <si>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</si>
  <si>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</si>
  <si>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</si>
  <si>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</si>
  <si>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</si>
  <si>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</si>
  <si>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</si>
  <si>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</si>
  <si>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</si>
  <si>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</si>
  <si>
    <t>04.02.2019</t>
  </si>
  <si>
    <t>05.02.2019</t>
  </si>
  <si>
    <t>06.02.2019</t>
  </si>
  <si>
    <t>07.02.2019</t>
  </si>
  <si>
    <t>08.02.2019</t>
  </si>
  <si>
    <t>11.02.2019</t>
  </si>
  <si>
    <t>12.02.2019</t>
  </si>
  <si>
    <t>13.02.2019</t>
  </si>
  <si>
    <t>14.02.2019</t>
  </si>
  <si>
    <t>15.02.2019</t>
  </si>
  <si>
    <t>18.02.2019</t>
  </si>
  <si>
    <t>19.02.2019</t>
  </si>
  <si>
    <t>20.02.2019</t>
  </si>
  <si>
    <t>21.02.2019</t>
  </si>
  <si>
    <t>22.02.2019</t>
  </si>
  <si>
    <t>25.02.2019</t>
  </si>
  <si>
    <t>26.02.2019</t>
  </si>
  <si>
    <t>27.02.2019</t>
  </si>
  <si>
    <t>28.02.2019</t>
  </si>
  <si>
    <t>01.03.2019</t>
  </si>
  <si>
    <t>04.03.2019</t>
  </si>
  <si>
    <t>05.03.2019</t>
  </si>
  <si>
    <t>06.03.2019</t>
  </si>
  <si>
    <t>07.03.2019</t>
  </si>
  <si>
    <t>08.03.2019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</si>
  <si>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</si>
  <si>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</si>
  <si>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</si>
  <si>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</si>
  <si>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</si>
  <si>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</si>
  <si>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</si>
  <si>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</si>
  <si>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</si>
  <si>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22.03.2019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</si>
  <si>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</si>
  <si>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</si>
  <si>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</si>
  <si>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</si>
  <si>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</si>
  <si>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</si>
  <si>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</si>
  <si>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</si>
  <si>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04.04.2019</t>
  </si>
  <si>
    <t>05.04.2019</t>
  </si>
  <si>
    <t>08.04.2019</t>
  </si>
  <si>
    <t>09.04.2019</t>
  </si>
  <si>
    <t>10.04.2019</t>
  </si>
  <si>
    <t>11.04.2019</t>
  </si>
  <si>
    <t>12.04.2019</t>
  </si>
  <si>
    <t>15.04.2019</t>
  </si>
  <si>
    <t>16.04.2019</t>
  </si>
  <si>
    <t>17.04.2019</t>
  </si>
  <si>
    <t>18.04.2019</t>
  </si>
  <si>
    <t>23.04.2019</t>
  </si>
  <si>
    <t>24.04.2019</t>
  </si>
  <si>
    <t>25.04.2019</t>
  </si>
  <si>
    <t>26.04.2019</t>
  </si>
  <si>
    <t>29.04.2019</t>
  </si>
  <si>
    <t>30.04.2019</t>
  </si>
  <si>
    <t>02.05.2019</t>
  </si>
  <si>
    <t>03.05.2019</t>
  </si>
  <si>
    <t>06.05.2019</t>
  </si>
  <si>
    <t>07.05.2019</t>
  </si>
  <si>
    <t>09.05.2019</t>
  </si>
  <si>
    <t>10.05.2019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</si>
  <si>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</si>
  <si>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</si>
  <si>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</si>
  <si>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</si>
  <si>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</si>
  <si>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</si>
  <si>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</si>
  <si>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</si>
  <si>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</si>
  <si>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</si>
  <si>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</si>
  <si>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</si>
  <si>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</si>
  <si>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</si>
  <si>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</si>
  <si>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03.06.2019</t>
  </si>
  <si>
    <t>04.06.2019</t>
  </si>
  <si>
    <t>05.06.2019</t>
  </si>
  <si>
    <t>06.06.2019</t>
  </si>
  <si>
    <t>07.06.2019</t>
  </si>
  <si>
    <t>10.06.2019</t>
  </si>
  <si>
    <t>11.06.2019</t>
  </si>
  <si>
    <t>12.06.2019</t>
  </si>
  <si>
    <t>13.06.2019</t>
  </si>
  <si>
    <t>14.06.2019</t>
  </si>
  <si>
    <t>17.06.2019</t>
  </si>
  <si>
    <t>18.06.2019</t>
  </si>
  <si>
    <t>19.06.2019</t>
  </si>
  <si>
    <t>20.06.2019</t>
  </si>
  <si>
    <t>21.06.2019</t>
  </si>
  <si>
    <t>24.06.2019</t>
  </si>
  <si>
    <t>25.06.2019</t>
  </si>
  <si>
    <t>26.06.2019</t>
  </si>
  <si>
    <t>27.06.2019</t>
  </si>
  <si>
    <t>28.06.2019</t>
  </si>
  <si>
    <t>30.06.2019</t>
  </si>
  <si>
    <t>01.07.2019</t>
  </si>
  <si>
    <t>02.07.2019</t>
  </si>
  <si>
    <t>03.07.2019</t>
  </si>
  <si>
    <t>04.07.2019</t>
  </si>
  <si>
    <t>08.07.2019</t>
  </si>
  <si>
    <t>09.07.2019</t>
  </si>
  <si>
    <t>10.07.2019</t>
  </si>
  <si>
    <t>11.07.2019</t>
  </si>
  <si>
    <t>12.07.2019</t>
  </si>
  <si>
    <t>15.07.2019</t>
  </si>
  <si>
    <t>16.07.2019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</si>
  <si>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</si>
  <si>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</si>
  <si>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</si>
  <si>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</si>
  <si>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</si>
  <si>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</si>
  <si>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</si>
  <si>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</si>
  <si>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</si>
  <si>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</si>
  <si>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</si>
  <si>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</si>
  <si>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</si>
  <si>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</si>
  <si>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</si>
  <si>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</si>
  <si>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</si>
  <si>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09.08.2019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</si>
  <si>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</si>
  <si>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</si>
  <si>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</si>
  <si>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</si>
  <si>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</si>
  <si>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</si>
  <si>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</si>
  <si>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</si>
  <si>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22.08.2019</t>
  </si>
  <si>
    <t>23.08.2019</t>
  </si>
  <si>
    <t>26.08.2019</t>
  </si>
  <si>
    <t>27.08.2019</t>
  </si>
  <si>
    <t>28.08.2019</t>
  </si>
  <si>
    <t>29.08.2019</t>
  </si>
  <si>
    <t>30.08.2019</t>
  </si>
  <si>
    <t>31.08.2019</t>
  </si>
  <si>
    <t>02.09.2019</t>
  </si>
  <si>
    <t>03.09.2019</t>
  </si>
  <si>
    <t>04.09.2019</t>
  </si>
  <si>
    <t>05.09.2019</t>
  </si>
  <si>
    <t>06.09.2019</t>
  </si>
  <si>
    <t>09.09.2019</t>
  </si>
  <si>
    <t>10.09.2019</t>
  </si>
  <si>
    <t>11.09.2019</t>
  </si>
  <si>
    <t>12.09.2019</t>
  </si>
  <si>
    <t>13.09.2019</t>
  </si>
  <si>
    <t>16.09.2019</t>
  </si>
  <si>
    <t>17.09.2019</t>
  </si>
  <si>
    <t>18.09.2019</t>
  </si>
  <si>
    <t>19.09.2019</t>
  </si>
  <si>
    <t>20.09.2019</t>
  </si>
  <si>
    <t>23.09.2019</t>
  </si>
  <si>
    <t>24.09.2019</t>
  </si>
  <si>
    <t>25.09.2019</t>
  </si>
  <si>
    <t>26.09.2019</t>
  </si>
  <si>
    <t>27.09.2019</t>
  </si>
  <si>
    <t>30.09.2019</t>
  </si>
  <si>
    <t>01.10.2019</t>
  </si>
  <si>
    <t>02.10.2019</t>
  </si>
  <si>
    <t>03.10.2019</t>
  </si>
  <si>
    <t>04.10.2019</t>
  </si>
  <si>
    <t>07.10.2019</t>
  </si>
  <si>
    <t>08.10.2019</t>
  </si>
  <si>
    <t>09.10.2019</t>
  </si>
  <si>
    <t>10.10.2019</t>
  </si>
  <si>
    <t>11.10.2019</t>
  </si>
  <si>
    <t>14.10.2019</t>
  </si>
  <si>
    <t>15.10.2019</t>
  </si>
  <si>
    <t>16.10.2019</t>
  </si>
  <si>
    <t>17.10.2019</t>
  </si>
  <si>
    <t>18.10.2019</t>
  </si>
  <si>
    <t>21.10.2019</t>
  </si>
  <si>
    <t>22.10.2019</t>
  </si>
  <si>
    <t>23.10.2019</t>
  </si>
  <si>
    <t>24.10.2019</t>
  </si>
  <si>
    <t>25.10.2019</t>
  </si>
  <si>
    <t>29.10.2019</t>
  </si>
  <si>
    <t>30.10.2019</t>
  </si>
  <si>
    <t>31.10.2019</t>
  </si>
  <si>
    <t>01.11.2019</t>
  </si>
  <si>
    <t>04.11.2019</t>
  </si>
  <si>
    <t>05.11.2019</t>
  </si>
  <si>
    <t>06.11.2019</t>
  </si>
  <si>
    <t>07.11.2019</t>
  </si>
  <si>
    <t>08.11.2019</t>
  </si>
  <si>
    <t>11.11.2019</t>
  </si>
  <si>
    <t>12.11.2019</t>
  </si>
  <si>
    <t>13.11.2019</t>
  </si>
  <si>
    <t>14.11.2019</t>
  </si>
  <si>
    <t>15.11.2019</t>
  </si>
  <si>
    <t>18.11.2019</t>
  </si>
  <si>
    <t>19.11.2019</t>
  </si>
  <si>
    <t>20.11.2019</t>
  </si>
  <si>
    <t>21.11.2019</t>
  </si>
  <si>
    <t>22.11.2019</t>
  </si>
  <si>
    <t>25.11.2019</t>
  </si>
  <si>
    <t>26.11.2019</t>
  </si>
  <si>
    <t>27.11.2019</t>
  </si>
  <si>
    <t>28.11.2019</t>
  </si>
  <si>
    <t>29.11.2019</t>
  </si>
  <si>
    <t>30.11.2019</t>
  </si>
  <si>
    <t>02.12.2019</t>
  </si>
  <si>
    <t>03.12.2019</t>
  </si>
  <si>
    <t>04.12.2019</t>
  </si>
  <si>
    <t>05.12.2019</t>
  </si>
  <si>
    <t>06.12.2019</t>
  </si>
  <si>
    <t>09.12.2019</t>
  </si>
  <si>
    <t>10.12.2019</t>
  </si>
  <si>
    <t>11.12.2019</t>
  </si>
  <si>
    <t>12.12.2019</t>
  </si>
  <si>
    <t>13.12.2019</t>
  </si>
  <si>
    <t>16.12.2019</t>
  </si>
  <si>
    <t>17.12.2019</t>
  </si>
  <si>
    <t>18.12.2019</t>
  </si>
  <si>
    <t>19.12.2019</t>
  </si>
  <si>
    <t>20.12.2019</t>
  </si>
  <si>
    <t>23.12.2019</t>
  </si>
  <si>
    <t>27.12.2019</t>
  </si>
  <si>
    <t>31.12.2019</t>
  </si>
  <si>
    <t>01.01.2020</t>
  </si>
  <si>
    <t>03.01.2020</t>
  </si>
  <si>
    <t>06.01.2020</t>
  </si>
  <si>
    <t>07.01.2020</t>
  </si>
  <si>
    <t>08.01.2020</t>
  </si>
  <si>
    <t>09.01.2020</t>
  </si>
  <si>
    <t>10.01.2020</t>
  </si>
  <si>
    <t>13.01.2020</t>
  </si>
  <si>
    <t>21.01.2020</t>
  </si>
  <si>
    <t>22.01.2020</t>
  </si>
  <si>
    <t>27.01.2020</t>
  </si>
  <si>
    <t>29.01.2020</t>
  </si>
  <si>
    <t>30.01.2020</t>
  </si>
  <si>
    <t>06.02.2020</t>
  </si>
  <si>
    <t>07.02.2020</t>
  </si>
  <si>
    <t>10.02.2020</t>
  </si>
  <si>
    <t>11.02.2020</t>
  </si>
  <si>
    <t>12.02.2020</t>
  </si>
  <si>
    <t>13.02.2020</t>
  </si>
  <si>
    <t>14.02.2020</t>
  </si>
  <si>
    <t>17.02.2020</t>
  </si>
  <si>
    <t>18.02.2020</t>
  </si>
  <si>
    <t>20.02.2020</t>
  </si>
  <si>
    <t>21.02.2020</t>
  </si>
  <si>
    <t>24.02.2020</t>
  </si>
  <si>
    <t>25.02.2020</t>
  </si>
  <si>
    <t>26.02.2020</t>
  </si>
  <si>
    <t>27.02.2020</t>
  </si>
  <si>
    <t>28.02.2020</t>
  </si>
  <si>
    <t>02.03.2020</t>
  </si>
  <si>
    <t>03.03.2020</t>
  </si>
  <si>
    <t>05.03.2020</t>
  </si>
  <si>
    <t>09.03.2020</t>
  </si>
  <si>
    <t>10.03.2020</t>
  </si>
  <si>
    <t>11.03.2020</t>
  </si>
  <si>
    <t>12.03.2020</t>
  </si>
  <si>
    <t>13.03.2020</t>
  </si>
  <si>
    <t>16.03.2020</t>
  </si>
  <si>
    <t>17.03.2020</t>
  </si>
  <si>
    <t>19.03.2020</t>
  </si>
  <si>
    <t>24.03.2020</t>
  </si>
  <si>
    <t>25.03.2020</t>
  </si>
  <si>
    <t>26.03.2020</t>
  </si>
  <si>
    <t>27.03.2020</t>
  </si>
  <si>
    <t>30.03.2020</t>
  </si>
  <si>
    <t>03.04.2020</t>
  </si>
  <si>
    <t>06.04.2020</t>
  </si>
  <si>
    <t>08.04.2020</t>
  </si>
  <si>
    <t>14.04.2020</t>
  </si>
  <si>
    <t>17.04.2020</t>
  </si>
  <si>
    <t>20.04.2020</t>
  </si>
  <si>
    <t>21.04.2020</t>
  </si>
  <si>
    <t>22.04.2020</t>
  </si>
  <si>
    <t>23.04.2020</t>
  </si>
  <si>
    <t>27.04.2020</t>
  </si>
  <si>
    <t>28.04.2020</t>
  </si>
  <si>
    <t>29.04.2020</t>
  </si>
  <si>
    <t>04.05.2020</t>
  </si>
  <si>
    <t>06.05.2020</t>
  </si>
  <si>
    <t>11.05.2020</t>
  </si>
  <si>
    <t>13.05.2020</t>
  </si>
  <si>
    <t>14.05.2020</t>
  </si>
  <si>
    <t>18.05.2020</t>
  </si>
  <si>
    <t>19.05.2020</t>
  </si>
  <si>
    <t>20.05.2020</t>
  </si>
  <si>
    <t>21.05.2020</t>
  </si>
  <si>
    <t>22.05.2020</t>
  </si>
  <si>
    <t>25.05.2020</t>
  </si>
  <si>
    <t>27.05.2020</t>
  </si>
  <si>
    <t>28.05.2020</t>
  </si>
  <si>
    <t>02.06.2020</t>
  </si>
  <si>
    <t>03.06.2020</t>
  </si>
  <si>
    <t>04.06.2020</t>
  </si>
  <si>
    <t>05.06.2020</t>
  </si>
  <si>
    <t>08.06.2020</t>
  </si>
  <si>
    <t>12.06.2020</t>
  </si>
  <si>
    <t>15.06.2020</t>
  </si>
  <si>
    <t>16.06.2020</t>
  </si>
  <si>
    <t>17.06.2020</t>
  </si>
  <si>
    <t>19.06.2020</t>
  </si>
  <si>
    <t>22.06.2020</t>
  </si>
  <si>
    <t>25.06.2020</t>
  </si>
  <si>
    <t>26.06.2020</t>
  </si>
  <si>
    <t>29.06.2020</t>
  </si>
  <si>
    <t>01.07.2020</t>
  </si>
  <si>
    <t>02.07.2020</t>
  </si>
  <si>
    <t>03.07.2020</t>
  </si>
  <si>
    <t>07.07.2020</t>
  </si>
  <si>
    <t>08.07.2020</t>
  </si>
  <si>
    <t>09.07.2020</t>
  </si>
  <si>
    <t>10.07.2020</t>
  </si>
  <si>
    <t>13.07.2020</t>
  </si>
  <si>
    <t>14.07.2020</t>
  </si>
  <si>
    <t>15.07.2020</t>
  </si>
  <si>
    <t>16.07.2020</t>
  </si>
  <si>
    <t>17.07.2020</t>
  </si>
  <si>
    <t>20.07.2020</t>
  </si>
  <si>
    <t>21.07.2020</t>
  </si>
  <si>
    <t>22.07.2020</t>
  </si>
  <si>
    <t>23.07.2020</t>
  </si>
  <si>
    <t>24.07.2020</t>
  </si>
  <si>
    <t>27.07.2020</t>
  </si>
  <si>
    <t>28.07.2020</t>
  </si>
  <si>
    <t>29.07.2020</t>
  </si>
  <si>
    <t>30.07.2020</t>
  </si>
  <si>
    <t>31.07.2020</t>
  </si>
  <si>
    <t>03.08.2020</t>
  </si>
  <si>
    <t>04.08.2020</t>
  </si>
  <si>
    <t>05.08.2020</t>
  </si>
  <si>
    <t>06.08.2020</t>
  </si>
  <si>
    <t>07.08.2020</t>
  </si>
  <si>
    <t>10.08.2020</t>
  </si>
  <si>
    <t>11.08.2020</t>
  </si>
  <si>
    <t>12.08.2020</t>
  </si>
  <si>
    <t>13.08.2020</t>
  </si>
  <si>
    <t>14.08.2020</t>
  </si>
  <si>
    <t>17.08.2020</t>
  </si>
  <si>
    <t>18.08.2020</t>
  </si>
  <si>
    <t>19.08.2020</t>
  </si>
  <si>
    <t>20.08.2020</t>
  </si>
  <si>
    <t>21.08.2020</t>
  </si>
  <si>
    <t>24.08.2020</t>
  </si>
  <si>
    <t>25.08.2020</t>
  </si>
  <si>
    <t>26.08.2020</t>
  </si>
  <si>
    <t>27.08.2020</t>
  </si>
  <si>
    <t>28.08.2020</t>
  </si>
  <si>
    <t>31.08.2020</t>
  </si>
  <si>
    <t>01.09.2020</t>
  </si>
  <si>
    <t>02.09.2020</t>
  </si>
  <si>
    <t>03.09.2020</t>
  </si>
  <si>
    <t>04.09.2020</t>
  </si>
  <si>
    <t>07.09.2020</t>
  </si>
  <si>
    <t>08.09.2020</t>
  </si>
  <si>
    <t>09.09.2020</t>
  </si>
  <si>
    <t>10.09.2020</t>
  </si>
  <si>
    <t>11.09.2020</t>
  </si>
  <si>
    <t>14.09.2020</t>
  </si>
  <si>
    <t>15.09.2020</t>
  </si>
  <si>
    <t>16.09.2020</t>
  </si>
  <si>
    <t>17.09.2020</t>
  </si>
  <si>
    <t>18.09.2020</t>
  </si>
  <si>
    <t>21.09.2020</t>
  </si>
  <si>
    <t>22.09.2020</t>
  </si>
  <si>
    <t>23.09.2020</t>
  </si>
  <si>
    <t>24.09.2020</t>
  </si>
  <si>
    <t>25.09.2020</t>
  </si>
  <si>
    <t>29.09.2020</t>
  </si>
  <si>
    <t>30.09.2020</t>
  </si>
  <si>
    <t>01.10.2020</t>
  </si>
  <si>
    <t>02.10.2020</t>
  </si>
  <si>
    <t>05.10.2020</t>
  </si>
  <si>
    <t>06.10.2020</t>
  </si>
  <si>
    <t>07.10.2020</t>
  </si>
  <si>
    <t>08.10.2020</t>
  </si>
  <si>
    <t>09.10.2020</t>
  </si>
  <si>
    <t>12.10.2020</t>
  </si>
  <si>
    <t>13.10.2020</t>
  </si>
  <si>
    <t>14.10.2020</t>
  </si>
  <si>
    <t>15.10.2020</t>
  </si>
  <si>
    <t>16.10.2020</t>
  </si>
  <si>
    <t>19.10.2020</t>
  </si>
  <si>
    <t>20.10.2020</t>
  </si>
  <si>
    <t>21.10.2020</t>
  </si>
  <si>
    <t>22.10.2020</t>
  </si>
  <si>
    <t>23.10.2020</t>
  </si>
  <si>
    <t>26.10.2020</t>
  </si>
  <si>
    <t>27.10.2020</t>
  </si>
  <si>
    <t>29.10.2020</t>
  </si>
  <si>
    <t>30.10.2020</t>
  </si>
  <si>
    <t>02.11.2020</t>
  </si>
  <si>
    <t>03.11.2020</t>
  </si>
  <si>
    <t>04.11.2020</t>
  </si>
  <si>
    <t>05.11.2020</t>
  </si>
  <si>
    <t>06.11.2020</t>
  </si>
  <si>
    <t>09.11.2020</t>
  </si>
  <si>
    <t>10.11.2020</t>
  </si>
  <si>
    <t>11.11.2020</t>
  </si>
  <si>
    <t>12.11.2020</t>
  </si>
  <si>
    <t>13.11.2020</t>
  </si>
  <si>
    <t>16.11.2020</t>
  </si>
  <si>
    <t>18.11.2020</t>
  </si>
  <si>
    <t>19.11.2020</t>
  </si>
  <si>
    <t>20.11.2020</t>
  </si>
  <si>
    <t>23.11.2020</t>
  </si>
  <si>
    <t>24.11.2020</t>
  </si>
  <si>
    <t>25.11.2020</t>
  </si>
  <si>
    <t>26.11.2020</t>
  </si>
  <si>
    <t>27.11.2020</t>
  </si>
  <si>
    <t>30.11.2020</t>
  </si>
  <si>
    <t>01.12.2020</t>
  </si>
  <si>
    <t>02.12.2020</t>
  </si>
  <si>
    <t>03.12.2020</t>
  </si>
  <si>
    <t>04.12.2020</t>
  </si>
  <si>
    <t>07.12.2020</t>
  </si>
  <si>
    <t>08.12.2020</t>
  </si>
  <si>
    <t>09.12.2020</t>
  </si>
  <si>
    <t>10.12.2020</t>
  </si>
  <si>
    <t>11.12.2020</t>
  </si>
  <si>
    <t>14.12.2020</t>
  </si>
  <si>
    <t>15.12.2020</t>
  </si>
  <si>
    <t>16.12.2020</t>
  </si>
  <si>
    <t>17.12.2020</t>
  </si>
  <si>
    <t>18.12.2020</t>
  </si>
  <si>
    <t>21.12.2020</t>
  </si>
  <si>
    <t>22.12.2020</t>
  </si>
  <si>
    <t>23.12.2020</t>
  </si>
  <si>
    <t>28.12.2020</t>
  </si>
  <si>
    <t>29.12.2020</t>
  </si>
  <si>
    <t>30.12.2020</t>
  </si>
  <si>
    <t>31.12.2020</t>
  </si>
  <si>
    <t>Účet</t>
  </si>
  <si>
    <t>Číslo</t>
  </si>
  <si>
    <t>Zdroj</t>
  </si>
  <si>
    <t>Firma</t>
  </si>
  <si>
    <t>Text</t>
  </si>
  <si>
    <t>VS</t>
  </si>
  <si>
    <t>Částka (saldo)</t>
  </si>
  <si>
    <t>381001</t>
  </si>
  <si>
    <t>04.01.2021</t>
  </si>
  <si>
    <t>05.01.2021</t>
  </si>
  <si>
    <t>06.01.2021</t>
  </si>
  <si>
    <t>07.01.2021</t>
  </si>
  <si>
    <t>08.01.2021</t>
  </si>
  <si>
    <t>11.01.2021</t>
  </si>
  <si>
    <t>12.01.2021</t>
  </si>
  <si>
    <t>13.01.2021</t>
  </si>
  <si>
    <t>14.01.2021</t>
  </si>
  <si>
    <t>15.01.2021</t>
  </si>
  <si>
    <t>18.01.2021</t>
  </si>
  <si>
    <t>19.01.2021</t>
  </si>
  <si>
    <t>20.01.2021</t>
  </si>
  <si>
    <t>21.01.2021</t>
  </si>
  <si>
    <t>22.01.2021</t>
  </si>
  <si>
    <t>25.01.2021</t>
  </si>
  <si>
    <t>26.01.2021</t>
  </si>
  <si>
    <t>27.01.2021</t>
  </si>
  <si>
    <t>28.01.2021</t>
  </si>
  <si>
    <t>29.01.2021</t>
  </si>
  <si>
    <t>01.02.2021</t>
  </si>
  <si>
    <t>02.02.2021</t>
  </si>
  <si>
    <t>03.02.2021</t>
  </si>
  <si>
    <t>04.02.2021</t>
  </si>
  <si>
    <t>05.02.2021</t>
  </si>
  <si>
    <t>08.02.2021</t>
  </si>
  <si>
    <t>09.02.2021</t>
  </si>
  <si>
    <t>10.02.2021</t>
  </si>
  <si>
    <t>11.02.2021</t>
  </si>
  <si>
    <t>12.02.2021</t>
  </si>
  <si>
    <t>15.02.2021</t>
  </si>
  <si>
    <t>16.02.2021</t>
  </si>
  <si>
    <t>17.02.2021</t>
  </si>
  <si>
    <t>18.02.2021</t>
  </si>
  <si>
    <t>19.02.2021</t>
  </si>
  <si>
    <t>22.02.2021</t>
  </si>
  <si>
    <t>23.02.2021</t>
  </si>
  <si>
    <t>24.02.2021</t>
  </si>
  <si>
    <t>25.02.2021</t>
  </si>
  <si>
    <t>26.02.2021</t>
  </si>
  <si>
    <t>01.03.2021</t>
  </si>
  <si>
    <t>02.03.2021</t>
  </si>
  <si>
    <t>03.03.2021</t>
  </si>
  <si>
    <t>04.03.2021</t>
  </si>
  <si>
    <t>05.03.2021</t>
  </si>
  <si>
    <t>08.03.2021</t>
  </si>
  <si>
    <t>09.03.2021</t>
  </si>
  <si>
    <t>10.03.2021</t>
  </si>
  <si>
    <t>11.03.2021</t>
  </si>
  <si>
    <t>12.03.2021</t>
  </si>
  <si>
    <t>15.03.2021</t>
  </si>
  <si>
    <t>16.03.2021</t>
  </si>
  <si>
    <t>17.03.2021</t>
  </si>
  <si>
    <t>18.03.2021</t>
  </si>
  <si>
    <t>19.03.2021</t>
  </si>
  <si>
    <t>22.03.2021</t>
  </si>
  <si>
    <t>23.03.2021</t>
  </si>
  <si>
    <t>24.03.2021</t>
  </si>
  <si>
    <t>25.03.2021</t>
  </si>
  <si>
    <t>26.03.2021</t>
  </si>
  <si>
    <t>29.03.2021</t>
  </si>
  <si>
    <t>30.03.2021</t>
  </si>
  <si>
    <t>31.03.2021</t>
  </si>
  <si>
    <t>01.04.2021</t>
  </si>
  <si>
    <t>06.04.2021</t>
  </si>
  <si>
    <t>07.04.2021</t>
  </si>
  <si>
    <t>08.04.2021</t>
  </si>
  <si>
    <t>09.04.2021</t>
  </si>
  <si>
    <t>12.04.2021</t>
  </si>
  <si>
    <t>13.04.2021</t>
  </si>
  <si>
    <t>14.04.2021</t>
  </si>
  <si>
    <t>15.04.2021</t>
  </si>
  <si>
    <t>16.04.2021</t>
  </si>
  <si>
    <t>19.04.2021</t>
  </si>
  <si>
    <t>20.04.2021</t>
  </si>
  <si>
    <t>21.04.2021</t>
  </si>
  <si>
    <t>22.04.2021</t>
  </si>
  <si>
    <t>23.04.2021</t>
  </si>
  <si>
    <t>26.04.2021</t>
  </si>
  <si>
    <t>27.04.2021</t>
  </si>
  <si>
    <t>28.04.2021</t>
  </si>
  <si>
    <t>29.04.2021</t>
  </si>
  <si>
    <t>30.04.2021</t>
  </si>
  <si>
    <t>03.05.2021</t>
  </si>
  <si>
    <t>04.05.2021</t>
  </si>
  <si>
    <t>05.05.2021</t>
  </si>
  <si>
    <t>06.05.2021</t>
  </si>
  <si>
    <t>07.05.2021</t>
  </si>
  <si>
    <t>10.05.2021</t>
  </si>
  <si>
    <t>11.05.2021</t>
  </si>
  <si>
    <t>12.05.2021</t>
  </si>
  <si>
    <t>13.05.2021</t>
  </si>
  <si>
    <t>14.05.2021</t>
  </si>
  <si>
    <t>17.05.2021</t>
  </si>
  <si>
    <t>18.05.2021</t>
  </si>
  <si>
    <t>19.05.2021</t>
  </si>
  <si>
    <t>20.05.2021</t>
  </si>
  <si>
    <t>21.05.2021</t>
  </si>
  <si>
    <t>24.05.2021</t>
  </si>
  <si>
    <t>01.07.2021</t>
  </si>
  <si>
    <t>02.07.2021</t>
  </si>
  <si>
    <t>07.07.2021</t>
  </si>
  <si>
    <t>08.07.2021</t>
  </si>
  <si>
    <t>09.07.2021</t>
  </si>
  <si>
    <t>12.07.2021</t>
  </si>
  <si>
    <t>13.07.2021</t>
  </si>
  <si>
    <t>14.07.2021</t>
  </si>
  <si>
    <t>15.07.2021</t>
  </si>
  <si>
    <t>16.07.2021</t>
  </si>
  <si>
    <t>19.07.2021</t>
  </si>
  <si>
    <t>20.07.2021</t>
  </si>
  <si>
    <t>21.07.2021</t>
  </si>
  <si>
    <t>22.07.2021</t>
  </si>
  <si>
    <t>23.07.2021</t>
  </si>
  <si>
    <t>26.07.2021</t>
  </si>
  <si>
    <t>27.07.2021</t>
  </si>
  <si>
    <t>CZ0003535809</t>
  </si>
  <si>
    <t>5 let</t>
  </si>
  <si>
    <t>diff</t>
  </si>
  <si>
    <t>KB</t>
  </si>
  <si>
    <t>Emisní kurz</t>
  </si>
  <si>
    <t>Balance IFRS</t>
  </si>
  <si>
    <t>Balance CAS</t>
  </si>
  <si>
    <t>28.07.2021</t>
  </si>
  <si>
    <t>29.07.2021</t>
  </si>
  <si>
    <t>30.07.2021</t>
  </si>
  <si>
    <t>02.08.2021</t>
  </si>
  <si>
    <t>03.08.2021</t>
  </si>
  <si>
    <t>04.08.2021</t>
  </si>
  <si>
    <t>05.08.2021</t>
  </si>
  <si>
    <t>06.08.2021</t>
  </si>
  <si>
    <t>09.08.2021</t>
  </si>
  <si>
    <t>10.08.2021</t>
  </si>
  <si>
    <t>11.08.2021</t>
  </si>
  <si>
    <t>12.08.2021</t>
  </si>
  <si>
    <t>13.08.2021</t>
  </si>
  <si>
    <t>16.08.2021</t>
  </si>
  <si>
    <t>17.08.2021</t>
  </si>
  <si>
    <t>18.08.2021</t>
  </si>
  <si>
    <t>19.08.2021</t>
  </si>
  <si>
    <t>20.08.2021</t>
  </si>
  <si>
    <t>23.08.2021</t>
  </si>
  <si>
    <t>24.08.2021</t>
  </si>
  <si>
    <t>25.08.2021</t>
  </si>
  <si>
    <t>26.08.2021</t>
  </si>
  <si>
    <t>27.08.2021</t>
  </si>
  <si>
    <t>30.08.2021</t>
  </si>
  <si>
    <t>31.08.2021</t>
  </si>
  <si>
    <t>01.09.2021</t>
  </si>
  <si>
    <t>02.09.2021</t>
  </si>
  <si>
    <t>03.09.2021</t>
  </si>
  <si>
    <t>06.09.2021</t>
  </si>
  <si>
    <t>07.09.2021</t>
  </si>
  <si>
    <t>08.09.2021</t>
  </si>
  <si>
    <t>09.09.2021</t>
  </si>
  <si>
    <t>10.09.2021</t>
  </si>
  <si>
    <t>13.09.2021</t>
  </si>
  <si>
    <t>14.09.2021</t>
  </si>
  <si>
    <t>15.09.2021</t>
  </si>
  <si>
    <t>16.09.2021</t>
  </si>
  <si>
    <t>17.09.2021</t>
  </si>
  <si>
    <t>20.09.2021</t>
  </si>
  <si>
    <t>21.09.2021</t>
  </si>
  <si>
    <t>22.09.2021</t>
  </si>
  <si>
    <t>23.09.2021</t>
  </si>
  <si>
    <t>24.09.2021</t>
  </si>
  <si>
    <t>27.09.2021</t>
  </si>
  <si>
    <t>29.09.2021</t>
  </si>
  <si>
    <t>30.09.2021</t>
  </si>
  <si>
    <t>01.10.2021</t>
  </si>
  <si>
    <t>04.10.2021</t>
  </si>
  <si>
    <t>05.10.2021</t>
  </si>
  <si>
    <t>06.10.2021</t>
  </si>
  <si>
    <t>07.10.2021</t>
  </si>
  <si>
    <t>08.10.2021</t>
  </si>
  <si>
    <t>11.10.2021</t>
  </si>
  <si>
    <t>12.10.2021</t>
  </si>
  <si>
    <t>13.10.2021</t>
  </si>
  <si>
    <t>14.10.2021</t>
  </si>
  <si>
    <t>15.10.2021</t>
  </si>
  <si>
    <t>18.10.2021</t>
  </si>
  <si>
    <t>19.10.2021</t>
  </si>
  <si>
    <t>20.10.2021</t>
  </si>
  <si>
    <t>21.10.2021</t>
  </si>
  <si>
    <t>22.10.2021</t>
  </si>
  <si>
    <t>25.10.2021</t>
  </si>
  <si>
    <t>26.10.2021</t>
  </si>
  <si>
    <t>27.10.2021</t>
  </si>
  <si>
    <t>29.10.2021</t>
  </si>
  <si>
    <t>01.11.2021</t>
  </si>
  <si>
    <t>02.11.2021</t>
  </si>
  <si>
    <t>03.11.2021</t>
  </si>
  <si>
    <t>04.11.2021</t>
  </si>
  <si>
    <t>05.11.2021</t>
  </si>
  <si>
    <t>08.11.2021</t>
  </si>
  <si>
    <t>09.11.2021</t>
  </si>
  <si>
    <t>10.11.2021</t>
  </si>
  <si>
    <t>11.11.2021</t>
  </si>
  <si>
    <t>12.11.2021</t>
  </si>
  <si>
    <t>15.11.2021</t>
  </si>
  <si>
    <t>16.11.2021</t>
  </si>
  <si>
    <t>18.11.2021</t>
  </si>
  <si>
    <t>19.11.2021</t>
  </si>
  <si>
    <t>22.11.2021</t>
  </si>
  <si>
    <t>23.11.2021</t>
  </si>
  <si>
    <t>24.11.2021</t>
  </si>
  <si>
    <t>25.11.2021</t>
  </si>
  <si>
    <t>26.11.2021</t>
  </si>
  <si>
    <t>29.11.2021</t>
  </si>
  <si>
    <t>30.11.2021</t>
  </si>
  <si>
    <t>01.12.2021</t>
  </si>
  <si>
    <t>02.12.2021</t>
  </si>
  <si>
    <t>03.12.2021</t>
  </si>
  <si>
    <t>06.12.2021</t>
  </si>
  <si>
    <t>07.12.2021</t>
  </si>
  <si>
    <t>08.12.2021</t>
  </si>
  <si>
    <t>09.12.2021</t>
  </si>
  <si>
    <t>10.12.2021</t>
  </si>
  <si>
    <t>13.12.2021</t>
  </si>
  <si>
    <t>14.12.2021</t>
  </si>
  <si>
    <t>15.12.2021</t>
  </si>
  <si>
    <t>16.12.2021</t>
  </si>
  <si>
    <t>17.12.2021</t>
  </si>
  <si>
    <t>20.12.2021</t>
  </si>
  <si>
    <t>21.12.2021</t>
  </si>
  <si>
    <t>22.12.2021</t>
  </si>
  <si>
    <t>23.12.2021</t>
  </si>
  <si>
    <t>27.12.2021</t>
  </si>
  <si>
    <t>28.12.2021</t>
  </si>
  <si>
    <t>29.12.2021</t>
  </si>
  <si>
    <t>30.12.2021</t>
  </si>
  <si>
    <t>31.12.2021</t>
  </si>
  <si>
    <t>31.12.221</t>
  </si>
  <si>
    <t>Rozdíl mezi NH a emisním kurzem</t>
  </si>
  <si>
    <t>375000/473100</t>
  </si>
  <si>
    <t>účtování IFRS</t>
  </si>
  <si>
    <t>375000/473102</t>
  </si>
  <si>
    <t>účtování CAS</t>
  </si>
  <si>
    <t>375000/384000</t>
  </si>
  <si>
    <t>denní výnos</t>
  </si>
  <si>
    <t>384000/667000</t>
  </si>
  <si>
    <t>518140/381000</t>
  </si>
  <si>
    <t>067000</t>
  </si>
  <si>
    <t>Poplatky CDCP</t>
  </si>
  <si>
    <t>473103/379000</t>
  </si>
  <si>
    <t>úroková sazba</t>
  </si>
  <si>
    <t xml:space="preserve">Účtování </t>
  </si>
  <si>
    <t>Revenue - provision of the loan</t>
  </si>
  <si>
    <t>jistina</t>
  </si>
  <si>
    <t>067000/379000</t>
  </si>
  <si>
    <t>Due date of revenue</t>
  </si>
  <si>
    <t>odměna za poskytnutí</t>
  </si>
  <si>
    <t>378000/668000</t>
  </si>
  <si>
    <t>378000/067000</t>
  </si>
  <si>
    <t>067000/662000</t>
  </si>
  <si>
    <t>Obratová předvaha analyticky</t>
  </si>
  <si>
    <t>GEVORKYAN CZ, s.r.o. - IFRS</t>
  </si>
  <si>
    <t>IČ: 11928638</t>
  </si>
  <si>
    <t>Strana 1</t>
  </si>
  <si>
    <t>_x000D_
Číslo účtu</t>
  </si>
  <si>
    <t>_x000D_
Název účtu</t>
  </si>
  <si>
    <t>Počáteční stav_x000D_
MD</t>
  </si>
  <si>
    <t>Počáteční stav_x000D_
D</t>
  </si>
  <si>
    <t>Obraty za období_x000D_
MD</t>
  </si>
  <si>
    <t>Obraty za období_x000D_
D</t>
  </si>
  <si>
    <t>Koncový stav_x000D_
MD</t>
  </si>
  <si>
    <t>Koncový stav_x000D_
D</t>
  </si>
  <si>
    <t>Ostatní zápůjčky a úvěry</t>
  </si>
  <si>
    <t>211000</t>
  </si>
  <si>
    <t>Peněžní prostředky v pokladně</t>
  </si>
  <si>
    <t>221001</t>
  </si>
  <si>
    <t>KB EUR 123-3117980237/0100</t>
  </si>
  <si>
    <t>321000</t>
  </si>
  <si>
    <t>Závazky z obchodních vztahů</t>
  </si>
  <si>
    <t>375000</t>
  </si>
  <si>
    <t>Pohledávky z vydaných dluhopisů</t>
  </si>
  <si>
    <t>378000</t>
  </si>
  <si>
    <t>Jiné pohledávky</t>
  </si>
  <si>
    <t>379000</t>
  </si>
  <si>
    <t>Jiné závazky</t>
  </si>
  <si>
    <t>389000</t>
  </si>
  <si>
    <t>Dohadné účty pasivní</t>
  </si>
  <si>
    <t>395000</t>
  </si>
  <si>
    <t>Vnitřní zúčtování</t>
  </si>
  <si>
    <t>411000</t>
  </si>
  <si>
    <t>Základní kapitál</t>
  </si>
  <si>
    <t>473100</t>
  </si>
  <si>
    <t>Emitované dluhopisy - nominál</t>
  </si>
  <si>
    <t>473101</t>
  </si>
  <si>
    <t>Emitované dluhopisy - úroky</t>
  </si>
  <si>
    <t>473102</t>
  </si>
  <si>
    <t>Emitované dluhopisy - rozdíl EK-NH</t>
  </si>
  <si>
    <t>473103</t>
  </si>
  <si>
    <t>Emitované dluhopisy - poplatky</t>
  </si>
  <si>
    <t>518100</t>
  </si>
  <si>
    <t>Poplatky Burze, CDCP</t>
  </si>
  <si>
    <t>518110</t>
  </si>
  <si>
    <t>Účetní, daňové a admin služby</t>
  </si>
  <si>
    <t>562100</t>
  </si>
  <si>
    <t>Úroky z emitovaných dluhopisů</t>
  </si>
  <si>
    <t>563000</t>
  </si>
  <si>
    <t>Kurzové ztráty</t>
  </si>
  <si>
    <t>568000</t>
  </si>
  <si>
    <t>Ostatní a mimořádné finanční náklady</t>
  </si>
  <si>
    <t>662000</t>
  </si>
  <si>
    <t>663000</t>
  </si>
  <si>
    <t>Kurzové zisky</t>
  </si>
  <si>
    <t>total</t>
  </si>
  <si>
    <t xml:space="preserve">Účetní deník </t>
  </si>
  <si>
    <t>D/C</t>
  </si>
  <si>
    <t>CM (saldo)</t>
  </si>
  <si>
    <t>Měsíc</t>
  </si>
  <si>
    <t>MD</t>
  </si>
  <si>
    <t>DAL</t>
  </si>
  <si>
    <t>Částka</t>
  </si>
  <si>
    <t>CM</t>
  </si>
  <si>
    <t>VS2</t>
  </si>
  <si>
    <t>Stř</t>
  </si>
  <si>
    <t>Název stř.</t>
  </si>
  <si>
    <t>Zak</t>
  </si>
  <si>
    <t>Čin</t>
  </si>
  <si>
    <t>Debit</t>
  </si>
  <si>
    <t>Credit</t>
  </si>
  <si>
    <t>C</t>
  </si>
  <si>
    <t>10</t>
  </si>
  <si>
    <t>D</t>
  </si>
  <si>
    <t>FP</t>
  </si>
  <si>
    <t>11</t>
  </si>
  <si>
    <t>210900001</t>
  </si>
  <si>
    <t>211100001</t>
  </si>
  <si>
    <t>200210620</t>
  </si>
  <si>
    <t>211100004</t>
  </si>
  <si>
    <t>222107526</t>
  </si>
  <si>
    <t>OZ</t>
  </si>
  <si>
    <t>211900001</t>
  </si>
  <si>
    <t>IN</t>
  </si>
  <si>
    <t>BV</t>
  </si>
  <si>
    <t>KBEU0010001</t>
  </si>
  <si>
    <t>KBEU0010002</t>
  </si>
  <si>
    <t>Poplatek</t>
  </si>
  <si>
    <t>KBEU0010003</t>
  </si>
  <si>
    <t>KBEU0010004</t>
  </si>
  <si>
    <t>KBEU0010005</t>
  </si>
  <si>
    <t>KBEU0010006</t>
  </si>
  <si>
    <t>12</t>
  </si>
  <si>
    <t>KBEU0020001</t>
  </si>
  <si>
    <t>KBEU0020002</t>
  </si>
  <si>
    <t>Kurzové zisky - závazky</t>
  </si>
  <si>
    <t>KBEU0020003</t>
  </si>
  <si>
    <t>KBEU0020004</t>
  </si>
  <si>
    <t>KBEU0020005</t>
  </si>
  <si>
    <t>2100006</t>
  </si>
  <si>
    <t>KBEU0020006</t>
  </si>
  <si>
    <t>KBEU0020007</t>
  </si>
  <si>
    <t>KBEU0020008</t>
  </si>
  <si>
    <t>KBEU0020009</t>
  </si>
  <si>
    <t>kurz k datu</t>
  </si>
  <si>
    <t>přepočítané saldo CM</t>
  </si>
  <si>
    <t>CM saldo</t>
  </si>
  <si>
    <t>ZŮSTATEK</t>
  </si>
  <si>
    <t>revenue / interest</t>
  </si>
  <si>
    <t>list 067</t>
  </si>
  <si>
    <t>list 473</t>
  </si>
  <si>
    <t>kurz ČNB</t>
  </si>
  <si>
    <t>rozdíl = základ OD</t>
  </si>
  <si>
    <t xml:space="preserve">Náklady příštích období </t>
  </si>
  <si>
    <t>Odložená daňová pohledávka v CZK</t>
  </si>
  <si>
    <t xml:space="preserve">Splatná daň - kalkulace </t>
  </si>
  <si>
    <t>zisk / ztráta CAS před zdaněním</t>
  </si>
  <si>
    <t>položky zvyšující základ daně</t>
  </si>
  <si>
    <t>591/341</t>
  </si>
  <si>
    <t>Splatná + odložená daň v EUR</t>
  </si>
  <si>
    <t>Efektivní daň</t>
  </si>
  <si>
    <t>Základ daně</t>
  </si>
  <si>
    <t>Sazba</t>
  </si>
  <si>
    <t>Daň</t>
  </si>
  <si>
    <t>zisk/ztráta před zdaněním</t>
  </si>
  <si>
    <t>Daňově neuznatelné náklady - OP k pohledávkám</t>
  </si>
  <si>
    <t>Ostatní daňově neuznatelné náklady</t>
  </si>
  <si>
    <t>Skutečný daňový náklad</t>
  </si>
  <si>
    <t>Základ odložené daně</t>
  </si>
  <si>
    <t>Sazba daně</t>
  </si>
  <si>
    <r>
      <t>Odložená</t>
    </r>
    <r>
      <rPr>
        <sz val="14"/>
        <color indexed="0"/>
        <rFont val="Times New Roman"/>
        <family val="1"/>
        <charset val="238"/>
      </rPr>
      <t xml:space="preserve"> </t>
    </r>
    <r>
      <rPr>
        <b/>
        <sz val="9.5"/>
        <color indexed="0"/>
        <rFont val="Times New Roman"/>
        <family val="1"/>
        <charset val="238"/>
      </rPr>
      <t>daň</t>
    </r>
  </si>
  <si>
    <t>Titul</t>
  </si>
  <si>
    <t>Náklady příštích období</t>
  </si>
  <si>
    <t>Rozdíl v účetní a daňové hodnotě emitovaných dluhopisů</t>
  </si>
  <si>
    <t>GEVORKYAN CZ, s.r.o.</t>
  </si>
  <si>
    <t>384000</t>
  </si>
  <si>
    <t>381000</t>
  </si>
  <si>
    <t>668100</t>
  </si>
  <si>
    <t>21CR00001</t>
  </si>
  <si>
    <t>Časové rozlišení daňového dokladu č. 210900001 - rozdíl mezi EK a N</t>
  </si>
  <si>
    <t>21CR00002</t>
  </si>
  <si>
    <t>Časové rozlišení daňového dokladu č. 211900001 - administrace</t>
  </si>
  <si>
    <t>518140</t>
  </si>
  <si>
    <t>21CR00003</t>
  </si>
  <si>
    <t>Časové rozlišení daňového dokladu č. 211100001 - Burza CP</t>
  </si>
  <si>
    <t>21CR00004</t>
  </si>
  <si>
    <t>Časové rozlišení daňového dokladu č. 211100004 - CDCP</t>
  </si>
  <si>
    <t>Výnosy příštích období</t>
  </si>
  <si>
    <t>Administrace dluhopisů</t>
  </si>
  <si>
    <t>Výnos z vlastních emitovaných dluhopisů</t>
  </si>
  <si>
    <t>daňový základ CAS</t>
  </si>
  <si>
    <t>Rozdíl v brutto účetní a daňové hodnotě poskytnuté půjčky</t>
  </si>
  <si>
    <t>FP 221100001</t>
  </si>
  <si>
    <t>FP 221100004</t>
  </si>
  <si>
    <t>473103/321000</t>
  </si>
  <si>
    <t>;</t>
  </si>
  <si>
    <t>odměna administrátora</t>
  </si>
  <si>
    <t>Nominální hodnota dluhopisu v tis. EUR</t>
  </si>
  <si>
    <t>v tis. EUR k 31.12.2021</t>
  </si>
  <si>
    <t>Náklady spojené s emisí a úrok v tis. EUR</t>
  </si>
  <si>
    <t>kurz 31.12.2021</t>
  </si>
  <si>
    <t>SB pouze úroky za 2021-CZK</t>
  </si>
  <si>
    <t>výpočet 31.12.2021</t>
  </si>
  <si>
    <t>do 3m</t>
  </si>
  <si>
    <t>3m-1rok</t>
  </si>
  <si>
    <t>1rok-5let</t>
  </si>
  <si>
    <t>Výkaz zisků a ztrát a ostatního úplného výsledku</t>
  </si>
  <si>
    <t>Úrokové výnosy</t>
  </si>
  <si>
    <t>Úrokové náklady</t>
  </si>
  <si>
    <t>Tvorba opravných položek</t>
  </si>
  <si>
    <t>Výnosy a náklady z derivátových operací</t>
  </si>
  <si>
    <t>Ostatní finanční výnosy</t>
  </si>
  <si>
    <t>Ostatní finanční náklady</t>
  </si>
  <si>
    <t>Služby</t>
  </si>
  <si>
    <t>Provozní zisk / (ztráta)</t>
  </si>
  <si>
    <t xml:space="preserve">Zisk / (ztráta) před zdaněním daní z příjmů </t>
  </si>
  <si>
    <t>Daň z příjmů splatná</t>
  </si>
  <si>
    <t>Daň z příjmů odložená</t>
  </si>
  <si>
    <t>Zisk / (ztráta) za období</t>
  </si>
  <si>
    <t>Úplný hospodářský výsledek celkem za účetní období</t>
  </si>
  <si>
    <t>Úplný hospodářský výsledek celkem připadající:</t>
  </si>
  <si>
    <t>Vlastníkům ovládající splečnosti</t>
  </si>
  <si>
    <t>Zisk / (ztráta) za učetní období z pokračujících činností</t>
  </si>
  <si>
    <t>Nekontrolním podílům</t>
  </si>
  <si>
    <t>Výkaz o finanční pozici</t>
  </si>
  <si>
    <t>Aktiva</t>
  </si>
  <si>
    <t>Finanční nástroje a jiná finanční aktiva</t>
  </si>
  <si>
    <t>z toho za podniky ve skupině</t>
  </si>
  <si>
    <t>Odložená daňová pohledávka</t>
  </si>
  <si>
    <t>Dlouhodobá aktiva celkem</t>
  </si>
  <si>
    <t>Krátkodobé finanční nástroje</t>
  </si>
  <si>
    <t>Pohledávky z obchodních vztahů a jiná aktiva</t>
  </si>
  <si>
    <t>Pohledávky z derivátových operací</t>
  </si>
  <si>
    <t>Peníze a peněžní ekvivalenty</t>
  </si>
  <si>
    <t>Krátkodobá aktiva celkem</t>
  </si>
  <si>
    <t>AKTIVA CELKEM</t>
  </si>
  <si>
    <t>Vlastní kapitál</t>
  </si>
  <si>
    <t>Nerozdělený zisk a úplný hospodářský výsledek za období</t>
  </si>
  <si>
    <t>Vlastní kapitál celkem</t>
  </si>
  <si>
    <t>Závazky</t>
  </si>
  <si>
    <t>Finanční nástroje a finanční závazky</t>
  </si>
  <si>
    <t>Závazky z derivátových operací</t>
  </si>
  <si>
    <t xml:space="preserve">Odložený daňový závazek </t>
  </si>
  <si>
    <t>Dlouhodobé závazky celkem</t>
  </si>
  <si>
    <t>Krátkodobé finanční nástroje a finanční závazky</t>
  </si>
  <si>
    <t>Závazky z obchodních vztahů a ostatní závazky</t>
  </si>
  <si>
    <t>Závazky za státem (DPH, DPPO)</t>
  </si>
  <si>
    <t>Krátkodobé závazky celkem</t>
  </si>
  <si>
    <t>Závazky celkem</t>
  </si>
  <si>
    <t>VLASTNÍ KAPITÁL A ZÁVAZKY CELKEM</t>
  </si>
  <si>
    <t>Výkaz změn vlastního kapitálu</t>
  </si>
  <si>
    <t>Nerozdělený zisk/ztráta</t>
  </si>
  <si>
    <t>Úplný hospodářský výsledek celkem za účetní období:</t>
  </si>
  <si>
    <t>Zisk nebo ztráta</t>
  </si>
  <si>
    <t>Stav k 31. prosince 2018</t>
  </si>
  <si>
    <t>Stav k 31. prosinci 2019</t>
  </si>
  <si>
    <t>Audit</t>
  </si>
  <si>
    <t>ZK složen do pokladny</t>
  </si>
  <si>
    <t>518130</t>
  </si>
  <si>
    <t>481000</t>
  </si>
  <si>
    <t>592000</t>
  </si>
  <si>
    <t>Odložený daňový závazek a pohledávka</t>
  </si>
  <si>
    <t>Daň z příjmů - odložená</t>
  </si>
  <si>
    <t>list DPPO</t>
  </si>
  <si>
    <t>odložená daň</t>
  </si>
  <si>
    <t>IFRS porovnání pro ř. 10 DPPO</t>
  </si>
  <si>
    <t>IFRS v CZK</t>
  </si>
  <si>
    <t>341000</t>
  </si>
  <si>
    <t>591000</t>
  </si>
  <si>
    <t>pohledávka</t>
  </si>
  <si>
    <t>závazek</t>
  </si>
  <si>
    <t>Daň z příjmů</t>
  </si>
  <si>
    <t>Daň z příjmů - splatná</t>
  </si>
  <si>
    <t>HV před daní IFRS</t>
  </si>
  <si>
    <t>P&amp;L before tax</t>
  </si>
  <si>
    <t>P&amp;L after tax</t>
  </si>
  <si>
    <t>eur</t>
  </si>
  <si>
    <t>Bod přílohy</t>
  </si>
  <si>
    <t>PROVOZNÍ ČINNOST</t>
  </si>
  <si>
    <t>Zisk / (ztráta) za účetní období před zdaněním</t>
  </si>
  <si>
    <t>Úpravy o:</t>
  </si>
  <si>
    <t>Ztráta ze znehodnocení nakoupených dluhopisů</t>
  </si>
  <si>
    <t>Přecenění derivátů a kurzové rozdíly</t>
  </si>
  <si>
    <t>Změna stavu nákladů příštích období</t>
  </si>
  <si>
    <t>Změna stavu rezerv a opravných položek</t>
  </si>
  <si>
    <t xml:space="preserve">Kurzové rozdíly </t>
  </si>
  <si>
    <t>Čisté úrokové náklady / výnosy</t>
  </si>
  <si>
    <t>Změna stavu pohledávek z obchodních vztahů a jiných aktiv</t>
  </si>
  <si>
    <t>Změna stavu závazků z obchodních vztahů a jiných závazků</t>
  </si>
  <si>
    <t xml:space="preserve">Zaplacená daň z příjmů za běžnou činnost a doměrky daně za minulá období </t>
  </si>
  <si>
    <t>Poskytnuté půjčky</t>
  </si>
  <si>
    <t>Emitované dluhopisy</t>
  </si>
  <si>
    <t>Přijaté úroky</t>
  </si>
  <si>
    <t xml:space="preserve">Zaplacené úroky </t>
  </si>
  <si>
    <t>Peněžní tok generovaný z (použité v) provozní činnosti</t>
  </si>
  <si>
    <t>Peněžní tok generovaný z (použité v) finanční činnosti</t>
  </si>
  <si>
    <t>Čisté zvýšení (snížení) peněžních prostředků a peněžních ekvivalentů</t>
  </si>
  <si>
    <t>Stav peněžních prostředků a peněžních ekvivalentů na počátku účetního období</t>
  </si>
  <si>
    <t>Stav peněžních prostředků a peněžních ekvivalentů na konci účetního období</t>
  </si>
  <si>
    <t>315999</t>
  </si>
  <si>
    <t>545000</t>
  </si>
  <si>
    <t>Ostatní pokuty a penále</t>
  </si>
  <si>
    <t>Výsledek hospodaření ve schvalovacím řízení</t>
  </si>
  <si>
    <t>1</t>
  </si>
  <si>
    <t>05.01.2022</t>
  </si>
  <si>
    <t>21.01.2022</t>
  </si>
  <si>
    <t>24.01.2022</t>
  </si>
  <si>
    <t>27.01.2022</t>
  </si>
  <si>
    <t>Roční popatek za obchodování na trhu</t>
  </si>
  <si>
    <t>31.01.2022</t>
  </si>
  <si>
    <t>KBEU0010007</t>
  </si>
  <si>
    <t>KBEU0010008</t>
  </si>
  <si>
    <t>KBEU0010009</t>
  </si>
  <si>
    <t>2</t>
  </si>
  <si>
    <t>08.02.2022</t>
  </si>
  <si>
    <t>10.02.2022</t>
  </si>
  <si>
    <t>24,35</t>
  </si>
  <si>
    <t>17.02.2022</t>
  </si>
  <si>
    <t>23.02.2022</t>
  </si>
  <si>
    <t>záloha na úrok z půjčky GEVORKYAN SK</t>
  </si>
  <si>
    <t>24,475</t>
  </si>
  <si>
    <t>2022001</t>
  </si>
  <si>
    <t>Záloha na platbu úroku GEVORKYAN, s.r.o.</t>
  </si>
  <si>
    <t>24.02.2022</t>
  </si>
  <si>
    <t>28.02.2022</t>
  </si>
  <si>
    <t>3</t>
  </si>
  <si>
    <t>08.03.2022</t>
  </si>
  <si>
    <t>KBEU0030001</t>
  </si>
  <si>
    <t>10.03.2022</t>
  </si>
  <si>
    <t>KBEU0030002</t>
  </si>
  <si>
    <t>11.03.2022</t>
  </si>
  <si>
    <t>14.03.2022</t>
  </si>
  <si>
    <t>11928638</t>
  </si>
  <si>
    <t>17.03.2022</t>
  </si>
  <si>
    <t>KBEU0030003</t>
  </si>
  <si>
    <t>25.03.2022</t>
  </si>
  <si>
    <t>KBEU0030004</t>
  </si>
  <si>
    <t>31.03.2022</t>
  </si>
  <si>
    <t>Vedení účetnictví</t>
  </si>
  <si>
    <t>KBEU0030005</t>
  </si>
  <si>
    <t>KBEU0030006</t>
  </si>
  <si>
    <t>KBEU0030007</t>
  </si>
  <si>
    <t>KBEU0030008</t>
  </si>
  <si>
    <t>4</t>
  </si>
  <si>
    <t>07.04.2022</t>
  </si>
  <si>
    <t>KBEU0040001</t>
  </si>
  <si>
    <t>08.04.2022</t>
  </si>
  <si>
    <t>KBEU0040002</t>
  </si>
  <si>
    <t>KBEU0040003</t>
  </si>
  <si>
    <t>11.04.2022</t>
  </si>
  <si>
    <t>KBEU0040004</t>
  </si>
  <si>
    <t>14.04.2022</t>
  </si>
  <si>
    <t>KBEU0040005</t>
  </si>
  <si>
    <t xml:space="preserve">přijatý úrok z půjčky Gevorkyan </t>
  </si>
  <si>
    <t>24,42</t>
  </si>
  <si>
    <t>2022002</t>
  </si>
  <si>
    <t>21.04.2022</t>
  </si>
  <si>
    <t>26.04.2022</t>
  </si>
  <si>
    <t>28.04.2022</t>
  </si>
  <si>
    <t>KBEU0040008</t>
  </si>
  <si>
    <t>24,605</t>
  </si>
  <si>
    <t>5</t>
  </si>
  <si>
    <t>04.05.2022</t>
  </si>
  <si>
    <t>KBEU0050001</t>
  </si>
  <si>
    <t>05.05.2022</t>
  </si>
  <si>
    <t>KBEU0050002</t>
  </si>
  <si>
    <t>Záloha na úrok z půjčky GEVORKYAN. s.r.o.</t>
  </si>
  <si>
    <t>KBEU0050003</t>
  </si>
  <si>
    <t>KBEU0050004</t>
  </si>
  <si>
    <t>KBEU0050005</t>
  </si>
  <si>
    <t>Kurzové ztráty - závazky</t>
  </si>
  <si>
    <t>06.05.2022</t>
  </si>
  <si>
    <t>KBEU0050006</t>
  </si>
  <si>
    <t>13.05.2022</t>
  </si>
  <si>
    <t>KBEU0050007</t>
  </si>
  <si>
    <t>24.05.2022</t>
  </si>
  <si>
    <t>KBEU0050008</t>
  </si>
  <si>
    <t>31.05.2022</t>
  </si>
  <si>
    <t>Accounting services</t>
  </si>
  <si>
    <t>KBEU0050009</t>
  </si>
  <si>
    <t>KBEU0050010</t>
  </si>
  <si>
    <t>KBEU0050011</t>
  </si>
  <si>
    <t>KBEU0050012</t>
  </si>
  <si>
    <t>6</t>
  </si>
  <si>
    <t>06.06.2022</t>
  </si>
  <si>
    <t>KBEU0060001</t>
  </si>
  <si>
    <t>Záloha na úrok z půjčky GEVORKYAN, a.s.</t>
  </si>
  <si>
    <t>24,715</t>
  </si>
  <si>
    <t>KBEU0060002</t>
  </si>
  <si>
    <t>KBEU0060003</t>
  </si>
  <si>
    <t>KBEU0060004</t>
  </si>
  <si>
    <t>KBEU0060005</t>
  </si>
  <si>
    <t>07.06.2022</t>
  </si>
  <si>
    <t>KBEU0060006</t>
  </si>
  <si>
    <t>KBEU0060007</t>
  </si>
  <si>
    <t>23.06.2022</t>
  </si>
  <si>
    <t>KBEU0060008</t>
  </si>
  <si>
    <t>Záloha na úrok z půjčky Gevorkyan, a.s.</t>
  </si>
  <si>
    <t>24,75</t>
  </si>
  <si>
    <t>27.06.2022</t>
  </si>
  <si>
    <t>24,725</t>
  </si>
  <si>
    <t>28.06.2022</t>
  </si>
  <si>
    <t>KBEU0060011</t>
  </si>
  <si>
    <t>Záloha na úrok z půjčky GEVORKYAN a.s.</t>
  </si>
  <si>
    <t>29.06.2022</t>
  </si>
  <si>
    <t>30.06.2022</t>
  </si>
  <si>
    <t>03.01.2022</t>
  </si>
  <si>
    <t>04.01.2022</t>
  </si>
  <si>
    <t>06.01.2022</t>
  </si>
  <si>
    <t>07.01.2022</t>
  </si>
  <si>
    <t>10.01.2022</t>
  </si>
  <si>
    <t>11.01.2022</t>
  </si>
  <si>
    <t>12.01.2022</t>
  </si>
  <si>
    <t>13.01.2022</t>
  </si>
  <si>
    <t>14.01.2022</t>
  </si>
  <si>
    <t>17.01.2022</t>
  </si>
  <si>
    <t>18.01.2022</t>
  </si>
  <si>
    <t>19.01.2022</t>
  </si>
  <si>
    <t>20.01.2022</t>
  </si>
  <si>
    <t>25.01.2022</t>
  </si>
  <si>
    <t>26.01.2022</t>
  </si>
  <si>
    <t>28.01.2022</t>
  </si>
  <si>
    <t>01.02.2022</t>
  </si>
  <si>
    <t>02.02.2022</t>
  </si>
  <si>
    <t>03.02.2022</t>
  </si>
  <si>
    <t>04.02.2022</t>
  </si>
  <si>
    <t>07.02.2022</t>
  </si>
  <si>
    <t>09.02.2022</t>
  </si>
  <si>
    <t>11.02.2022</t>
  </si>
  <si>
    <t>14.02.2022</t>
  </si>
  <si>
    <t>15.02.2022</t>
  </si>
  <si>
    <t>16.02.2022</t>
  </si>
  <si>
    <t>18.02.2022</t>
  </si>
  <si>
    <t>21.02.2022</t>
  </si>
  <si>
    <t>22.02.2022</t>
  </si>
  <si>
    <t>25.02.2022</t>
  </si>
  <si>
    <t>01.03.2022</t>
  </si>
  <si>
    <t>02.03.2022</t>
  </si>
  <si>
    <t>03.03.2022</t>
  </si>
  <si>
    <t>04.03.2022</t>
  </si>
  <si>
    <t>07.03.2022</t>
  </si>
  <si>
    <t>09.03.2022</t>
  </si>
  <si>
    <t>15.03.2022</t>
  </si>
  <si>
    <t>16.03.2022</t>
  </si>
  <si>
    <t>18.03.2022</t>
  </si>
  <si>
    <t>21.03.2022</t>
  </si>
  <si>
    <t>22.03.2022</t>
  </si>
  <si>
    <t>23.03.2022</t>
  </si>
  <si>
    <t>24.03.2022</t>
  </si>
  <si>
    <t>28.03.2022</t>
  </si>
  <si>
    <t>29.03.2022</t>
  </si>
  <si>
    <t>30.03.2022</t>
  </si>
  <si>
    <t>01.04.2022</t>
  </si>
  <si>
    <t>04.04.2022</t>
  </si>
  <si>
    <t>05.04.2022</t>
  </si>
  <si>
    <t>06.04.2022</t>
  </si>
  <si>
    <t>12.04.2022</t>
  </si>
  <si>
    <t>13.04.2022</t>
  </si>
  <si>
    <t>19.04.2022</t>
  </si>
  <si>
    <t>20.04.2022</t>
  </si>
  <si>
    <t>22.04.2022</t>
  </si>
  <si>
    <t>25.04.2022</t>
  </si>
  <si>
    <t>27.04.2022</t>
  </si>
  <si>
    <t>29.04.2022</t>
  </si>
  <si>
    <t>02.05.2022</t>
  </si>
  <si>
    <t>03.05.2022</t>
  </si>
  <si>
    <t>09.05.2022</t>
  </si>
  <si>
    <t>10.05.2022</t>
  </si>
  <si>
    <t>11.05.2022</t>
  </si>
  <si>
    <t>12.05.2022</t>
  </si>
  <si>
    <t>16.05.2022</t>
  </si>
  <si>
    <t>17.05.2022</t>
  </si>
  <si>
    <t>18.05.2022</t>
  </si>
  <si>
    <t>19.05.2022</t>
  </si>
  <si>
    <t>20.05.2022</t>
  </si>
  <si>
    <t>23.05.2022</t>
  </si>
  <si>
    <t>25.05.2022</t>
  </si>
  <si>
    <t>26.05.2022</t>
  </si>
  <si>
    <t>27.05.2022</t>
  </si>
  <si>
    <t>30.05.2022</t>
  </si>
  <si>
    <t>01.06.2022</t>
  </si>
  <si>
    <t>02.06.2022</t>
  </si>
  <si>
    <t>03.06.2022</t>
  </si>
  <si>
    <t>08.06.2022</t>
  </si>
  <si>
    <t>09.06.2022</t>
  </si>
  <si>
    <t>10.06.2022</t>
  </si>
  <si>
    <t>13.06.2022</t>
  </si>
  <si>
    <t>14.06.2022</t>
  </si>
  <si>
    <t>15.06.2022</t>
  </si>
  <si>
    <t>16.06.2022</t>
  </si>
  <si>
    <t>17.06.2022</t>
  </si>
  <si>
    <t>20.06.2022</t>
  </si>
  <si>
    <t>21.06.2022</t>
  </si>
  <si>
    <t>22.06.2022</t>
  </si>
  <si>
    <t>24.06.2022</t>
  </si>
  <si>
    <t>01.07.2022</t>
  </si>
  <si>
    <t>04.07.2022</t>
  </si>
  <si>
    <t>07.07.2022</t>
  </si>
  <si>
    <t>08.07.2022</t>
  </si>
  <si>
    <t>11.07.2022</t>
  </si>
  <si>
    <t>12.07.2022</t>
  </si>
  <si>
    <t>13.07.2022</t>
  </si>
  <si>
    <t>14.07.2022</t>
  </si>
  <si>
    <t>15.07.2022</t>
  </si>
  <si>
    <t>18.07.2022</t>
  </si>
  <si>
    <t>19.07.2022</t>
  </si>
  <si>
    <t>20.07.2022</t>
  </si>
  <si>
    <t>21.07.2022</t>
  </si>
  <si>
    <t>22.07.2022</t>
  </si>
  <si>
    <t>25.07.2022</t>
  </si>
  <si>
    <t>26.07.2022</t>
  </si>
  <si>
    <t>27.07.2022</t>
  </si>
  <si>
    <t>28.07.2022</t>
  </si>
  <si>
    <t>29.07.2022</t>
  </si>
  <si>
    <t>01.08.2022</t>
  </si>
  <si>
    <t>02.08.2022</t>
  </si>
  <si>
    <t>03.08.2022</t>
  </si>
  <si>
    <t>04.08.2022</t>
  </si>
  <si>
    <t>05.08.2022</t>
  </si>
  <si>
    <t>08.08.2022</t>
  </si>
  <si>
    <t>09.08.2022</t>
  </si>
  <si>
    <t>po přecenění</t>
  </si>
  <si>
    <t>Rok: 2022</t>
  </si>
  <si>
    <t>Ostatní pohledávky - přeplatky</t>
  </si>
  <si>
    <t>zůstatek na 481</t>
  </si>
  <si>
    <t>592/481</t>
  </si>
  <si>
    <t>odložená daň (592)</t>
  </si>
  <si>
    <t>daňová ztráta (uplatnitelná v dalších letech)</t>
  </si>
  <si>
    <t>Company:</t>
  </si>
  <si>
    <t>Gevorkyan CZ</t>
  </si>
  <si>
    <t>Description of the loan:</t>
  </si>
  <si>
    <t>Gevorkyan SK</t>
  </si>
  <si>
    <t>Interest rate:</t>
  </si>
  <si>
    <t>Base of calcution (days):</t>
  </si>
  <si>
    <t># days</t>
  </si>
  <si>
    <t>Description</t>
  </si>
  <si>
    <t>Capitalization of interest</t>
  </si>
  <si>
    <t>New advance</t>
  </si>
  <si>
    <t>Payment of capital</t>
  </si>
  <si>
    <t>Total Loan</t>
  </si>
  <si>
    <t>Interest rate</t>
  </si>
  <si>
    <t>Interest</t>
  </si>
  <si>
    <t>Total interest due</t>
  </si>
  <si>
    <t>rozdíl mezi IFRS a CAS</t>
  </si>
  <si>
    <t>odúčtovat z výnosů</t>
  </si>
  <si>
    <t>již uhrazeno</t>
  </si>
  <si>
    <t>ESEF</t>
  </si>
  <si>
    <t>7</t>
  </si>
  <si>
    <t>KBEU0070002</t>
  </si>
  <si>
    <t>Záloha úrok z půjčky GEVORKYAN a.s.</t>
  </si>
  <si>
    <t>24,59</t>
  </si>
  <si>
    <t>KBEU0070007</t>
  </si>
  <si>
    <t>Záloha úrok z půjčky GEVROKYAN a.s.</t>
  </si>
  <si>
    <t>24,5</t>
  </si>
  <si>
    <t>KBEU0070012</t>
  </si>
  <si>
    <t>Záloha GEVORKYAN a.s.</t>
  </si>
  <si>
    <t>KBEU0070013</t>
  </si>
  <si>
    <t>8</t>
  </si>
  <si>
    <t>11.08.2022</t>
  </si>
  <si>
    <t>KBEU0080003</t>
  </si>
  <si>
    <t>24,345</t>
  </si>
  <si>
    <t>18.08.2022</t>
  </si>
  <si>
    <t>31.08.2022</t>
  </si>
  <si>
    <t>9</t>
  </si>
  <si>
    <t>05.09.2022</t>
  </si>
  <si>
    <t>07.09.2022</t>
  </si>
  <si>
    <t>12.09.2022</t>
  </si>
  <si>
    <t>KBEU0090003</t>
  </si>
  <si>
    <t>24,55</t>
  </si>
  <si>
    <t>13.09.2022</t>
  </si>
  <si>
    <t>záloha DPPO 2022</t>
  </si>
  <si>
    <t>26.09.2022</t>
  </si>
  <si>
    <t>30.09.2022</t>
  </si>
  <si>
    <t>22IN00026</t>
  </si>
  <si>
    <t>2200026</t>
  </si>
  <si>
    <t>10.10.2022</t>
  </si>
  <si>
    <t>19.10.2022</t>
  </si>
  <si>
    <t>20.10.2022</t>
  </si>
  <si>
    <t>21.10.2022</t>
  </si>
  <si>
    <t>KBEU0100004</t>
  </si>
  <si>
    <t>24,51</t>
  </si>
  <si>
    <t>31.10.2022</t>
  </si>
  <si>
    <t>03.11.2022</t>
  </si>
  <si>
    <t>KBEU0110001</t>
  </si>
  <si>
    <t>Příchozí platba GEVORKYAN a.s.</t>
  </si>
  <si>
    <t>24,535</t>
  </si>
  <si>
    <t>09.11.2022</t>
  </si>
  <si>
    <t>24,335</t>
  </si>
  <si>
    <t>11.11.2022</t>
  </si>
  <si>
    <t>KBEU0110007</t>
  </si>
  <si>
    <t>24,28</t>
  </si>
  <si>
    <t>14.11.2022</t>
  </si>
  <si>
    <t>22.11.2022</t>
  </si>
  <si>
    <t>KBEU0110010</t>
  </si>
  <si>
    <t>Platba zálohy GEVORKYAN a.s.</t>
  </si>
  <si>
    <t>KBEU0110013</t>
  </si>
  <si>
    <t>28.11.2022</t>
  </si>
  <si>
    <t>30.11.2022</t>
  </si>
  <si>
    <t>01.12.2022</t>
  </si>
  <si>
    <t>05.12.2022</t>
  </si>
  <si>
    <t>06.12.2022</t>
  </si>
  <si>
    <t>09.12.2022</t>
  </si>
  <si>
    <t>12.12.2022</t>
  </si>
  <si>
    <t>KBEU0120003</t>
  </si>
  <si>
    <t>24,31</t>
  </si>
  <si>
    <t>13.12.2022</t>
  </si>
  <si>
    <t>15.12.2022</t>
  </si>
  <si>
    <t>Ověření účetní uzávěrky k 31.12.2022</t>
  </si>
  <si>
    <t>19.12.2022</t>
  </si>
  <si>
    <t>KBEU0120006</t>
  </si>
  <si>
    <t>24,235</t>
  </si>
  <si>
    <t>20.12.2022</t>
  </si>
  <si>
    <t>31.12.2022</t>
  </si>
  <si>
    <t>22IN00028</t>
  </si>
  <si>
    <t>24,115</t>
  </si>
  <si>
    <t>2200028</t>
  </si>
  <si>
    <t>10.08.2022</t>
  </si>
  <si>
    <t>12.08.2022</t>
  </si>
  <si>
    <t>15.08.2022</t>
  </si>
  <si>
    <t>16.08.2022</t>
  </si>
  <si>
    <t>17.08.2022</t>
  </si>
  <si>
    <t>19.08.2022</t>
  </si>
  <si>
    <t>22.08.2022</t>
  </si>
  <si>
    <t>23.08.2022</t>
  </si>
  <si>
    <t>24.08.2022</t>
  </si>
  <si>
    <t>25.08.2022</t>
  </si>
  <si>
    <t>26.08.2022</t>
  </si>
  <si>
    <t>29.08.2022</t>
  </si>
  <si>
    <t>30.08.2022</t>
  </si>
  <si>
    <t>01.09.2022</t>
  </si>
  <si>
    <t>02.09.2022</t>
  </si>
  <si>
    <t>06.09.2022</t>
  </si>
  <si>
    <t>08.09.2022</t>
  </si>
  <si>
    <t>09.09.2022</t>
  </si>
  <si>
    <t>14.09.2022</t>
  </si>
  <si>
    <t>15.09.2022</t>
  </si>
  <si>
    <t>16.09.2022</t>
  </si>
  <si>
    <t>19.09.2022</t>
  </si>
  <si>
    <t>20.09.2022</t>
  </si>
  <si>
    <t>21.09.2022</t>
  </si>
  <si>
    <t>22.09.2022</t>
  </si>
  <si>
    <t>23.09.2022</t>
  </si>
  <si>
    <t>27.09.2022</t>
  </si>
  <si>
    <t>29.09.2022</t>
  </si>
  <si>
    <t>03.10.2022</t>
  </si>
  <si>
    <t>04.10.2022</t>
  </si>
  <si>
    <t>05.10.2022</t>
  </si>
  <si>
    <t>06.10.2022</t>
  </si>
  <si>
    <t>07.10.2022</t>
  </si>
  <si>
    <t>11.10.2022</t>
  </si>
  <si>
    <t>12.10.2022</t>
  </si>
  <si>
    <t>13.10.2022</t>
  </si>
  <si>
    <t>14.10.2022</t>
  </si>
  <si>
    <t>17.10.2022</t>
  </si>
  <si>
    <t>18.10.2022</t>
  </si>
  <si>
    <t>24.10.2022</t>
  </si>
  <si>
    <t>25.10.2022</t>
  </si>
  <si>
    <t>26.10.2022</t>
  </si>
  <si>
    <t>27.10.2022</t>
  </si>
  <si>
    <t>01.11.2022</t>
  </si>
  <si>
    <t>02.11.2022</t>
  </si>
  <si>
    <t>04.11.2022</t>
  </si>
  <si>
    <t>07.11.2022</t>
  </si>
  <si>
    <t>08.11.2022</t>
  </si>
  <si>
    <t>10.11.2022</t>
  </si>
  <si>
    <t>15.11.2022</t>
  </si>
  <si>
    <t>16.11.2022</t>
  </si>
  <si>
    <t>18.11.2022</t>
  </si>
  <si>
    <t>21.11.2022</t>
  </si>
  <si>
    <t>23.11.2022</t>
  </si>
  <si>
    <t>24.11.2022</t>
  </si>
  <si>
    <t>25.11.2022</t>
  </si>
  <si>
    <t>29.11.2022</t>
  </si>
  <si>
    <t>02.12.2022</t>
  </si>
  <si>
    <t>07.12.2022</t>
  </si>
  <si>
    <t>08.12.2022</t>
  </si>
  <si>
    <t>14.12.2022</t>
  </si>
  <si>
    <t>16.12.2022</t>
  </si>
  <si>
    <t>21.12.2022</t>
  </si>
  <si>
    <t>22.12.2022</t>
  </si>
  <si>
    <t>23.12.2022</t>
  </si>
  <si>
    <t>27.12.2022</t>
  </si>
  <si>
    <t>28.12.2022</t>
  </si>
  <si>
    <t>29.12.2022</t>
  </si>
  <si>
    <t>30.12.2022</t>
  </si>
  <si>
    <t>Platnost zpětně od 1.1.2022</t>
  </si>
  <si>
    <t>změna úrokové sazby</t>
  </si>
  <si>
    <t>Dodatek č. 2 - od 1.1.2022 zpětně</t>
  </si>
  <si>
    <t>k 1.7.2022</t>
  </si>
  <si>
    <t>rozdíl IFRS 1-6/2022</t>
  </si>
  <si>
    <t>doúčtovat do výnosů</t>
  </si>
  <si>
    <t>check</t>
  </si>
  <si>
    <t>379100</t>
  </si>
  <si>
    <t>518000</t>
  </si>
  <si>
    <t>431000</t>
  </si>
  <si>
    <t>429000</t>
  </si>
  <si>
    <t>Jiné závazky - Gevorkyan</t>
  </si>
  <si>
    <t>Jiné závazky - ostatní</t>
  </si>
  <si>
    <t>Neuhrazená ztráta minulých let</t>
  </si>
  <si>
    <t>Ostatní služby</t>
  </si>
  <si>
    <t>Počáteční stav</t>
  </si>
  <si>
    <t>Předpis úhrady úroků z půjčky - ze záloh</t>
  </si>
  <si>
    <t>Accrued interest</t>
  </si>
  <si>
    <t>výchozí pro IFRS od 1.1.2022</t>
  </si>
  <si>
    <t>CAS - doúčtovat do výnosů k 1.7.22</t>
  </si>
  <si>
    <t>Dne: 03.03.2023</t>
  </si>
  <si>
    <t>22IN00036</t>
  </si>
  <si>
    <t>DP audit (325248/24,115)</t>
  </si>
  <si>
    <t>Kr 321</t>
  </si>
  <si>
    <t>kr 341</t>
  </si>
  <si>
    <t>detail list přecenění IFRS</t>
  </si>
  <si>
    <t>Úhrada zálohy Gevorkyan, a.s.</t>
  </si>
  <si>
    <t>Jiné závazky - Gevorkyan SK</t>
  </si>
  <si>
    <t>zisk</t>
  </si>
  <si>
    <t>ÚZ, DPPO, audit</t>
  </si>
  <si>
    <t>Inventurní soupis časového rozlišení</t>
  </si>
  <si>
    <t>Tisk všech záznamů</t>
  </si>
  <si>
    <t>Číslo zdroj.dokladu</t>
  </si>
  <si>
    <t>Částka zdroj.dokladu</t>
  </si>
  <si>
    <t>Číslo karty</t>
  </si>
  <si>
    <t>Celková častka čas.rozlišení</t>
  </si>
  <si>
    <t>Čas.rozlišení minulého období</t>
  </si>
  <si>
    <t>Čas.rozlišení za období</t>
  </si>
  <si>
    <t xml:space="preserve">Čas.rozlišení v násled.období_x000D_
</t>
  </si>
  <si>
    <t>Součet za zdrojový doklad</t>
  </si>
  <si>
    <t>Celkový součet</t>
  </si>
  <si>
    <t>list ČR</t>
  </si>
  <si>
    <t>EY</t>
  </si>
  <si>
    <t>Odložená daňová pohledávka v EUR</t>
  </si>
  <si>
    <t>odhad splatné daně</t>
  </si>
  <si>
    <t>Za období 
1. ledna do 31. prosince 2022</t>
  </si>
  <si>
    <t>Úpravy o nepeněžní operace</t>
  </si>
  <si>
    <t>Pohledávky za státem (DPPO)</t>
  </si>
  <si>
    <t>Payment of interest according to the contract</t>
  </si>
  <si>
    <t>Really paid interest</t>
  </si>
  <si>
    <t>Dodatek - platnost od 1.7.2023</t>
  </si>
  <si>
    <t>Dodatek č. 3 - od 1.7.2023</t>
  </si>
  <si>
    <t>Rok: 2023</t>
  </si>
  <si>
    <t>03.01.2023</t>
  </si>
  <si>
    <t>24,125</t>
  </si>
  <si>
    <t xml:space="preserve">Ernst &amp; Young Audit, s.r.o. </t>
  </si>
  <si>
    <t xml:space="preserve">RSM CZ a.s. </t>
  </si>
  <si>
    <t>20.01.2023</t>
  </si>
  <si>
    <t>23,92</t>
  </si>
  <si>
    <t xml:space="preserve">Burza cenných papírů Praha, a.s. </t>
  </si>
  <si>
    <t>07.02.2023</t>
  </si>
  <si>
    <t>23,83</t>
  </si>
  <si>
    <t>09.02.2023</t>
  </si>
  <si>
    <t>23,695</t>
  </si>
  <si>
    <t>23.02.2023</t>
  </si>
  <si>
    <t>23,685</t>
  </si>
  <si>
    <t>09.03.2023</t>
  </si>
  <si>
    <t>23,62</t>
  </si>
  <si>
    <t>13.03.2023</t>
  </si>
  <si>
    <t>23,745</t>
  </si>
  <si>
    <t>342000</t>
  </si>
  <si>
    <t>548999</t>
  </si>
  <si>
    <t>23.03.2023</t>
  </si>
  <si>
    <t>23,66</t>
  </si>
  <si>
    <t>21.04.2023</t>
  </si>
  <si>
    <t>23,55</t>
  </si>
  <si>
    <t xml:space="preserve">KPMG Slovensko, spol. s.r.o. </t>
  </si>
  <si>
    <t>03.05.2023</t>
  </si>
  <si>
    <t>231100017</t>
  </si>
  <si>
    <t>CZ91CZ10001206</t>
  </si>
  <si>
    <t>23.05.2023</t>
  </si>
  <si>
    <t>23,675</t>
  </si>
  <si>
    <t>KBEU0050013</t>
  </si>
  <si>
    <t>12.06.2023</t>
  </si>
  <si>
    <t>23,76</t>
  </si>
  <si>
    <t>14.06.2023</t>
  </si>
  <si>
    <t>23,795</t>
  </si>
  <si>
    <t>kr</t>
  </si>
  <si>
    <t>30.06.2023</t>
  </si>
  <si>
    <t>23,73</t>
  </si>
  <si>
    <t>2300006</t>
  </si>
  <si>
    <t>2300012</t>
  </si>
  <si>
    <t>18.07.2023</t>
  </si>
  <si>
    <t>23,82</t>
  </si>
  <si>
    <t>ok</t>
  </si>
  <si>
    <t>vykázat jako zůstatek na 067</t>
  </si>
  <si>
    <t>Ostatní přímé daně</t>
  </si>
  <si>
    <t xml:space="preserve">Gevorkyan </t>
  </si>
  <si>
    <t xml:space="preserve">Komerční banka, a.s. </t>
  </si>
  <si>
    <t xml:space="preserve">Centrální depozitář cenných papírů, a.s. </t>
  </si>
  <si>
    <t>01.01.2023</t>
  </si>
  <si>
    <t>2100011</t>
  </si>
  <si>
    <t>23IN00015</t>
  </si>
  <si>
    <t>Daň z příjmu dle přiznání 2022</t>
  </si>
  <si>
    <t>23IN00019</t>
  </si>
  <si>
    <t>Dohad na závěrku k 30.6.2023 (1400 EUR+4%+dph)</t>
  </si>
  <si>
    <t>2300019</t>
  </si>
  <si>
    <t>detail list 379000, započítat s 067</t>
  </si>
  <si>
    <t>list DPPO - rozdíl je v doúčtování skutečné daně vs. Odhad daně 2022</t>
  </si>
  <si>
    <t>rozdíl po změně úrokové sazby</t>
  </si>
  <si>
    <t>21.08.2023</t>
  </si>
  <si>
    <t>KBEU0080001</t>
  </si>
  <si>
    <t>24,025</t>
  </si>
  <si>
    <t>KBEU0090001</t>
  </si>
  <si>
    <t>30.09.2023</t>
  </si>
  <si>
    <t>231100022</t>
  </si>
  <si>
    <t>Accounting services - FYC IFRS 30.6.2023</t>
  </si>
  <si>
    <t>24,44</t>
  </si>
  <si>
    <t>2023135255</t>
  </si>
  <si>
    <t>KBEU0090005</t>
  </si>
  <si>
    <t>24,705</t>
  </si>
  <si>
    <t>09.11.2023</t>
  </si>
  <si>
    <t>24,555</t>
  </si>
  <si>
    <t>10.11.2023</t>
  </si>
  <si>
    <t>KBEU0110002</t>
  </si>
  <si>
    <t>24,53</t>
  </si>
  <si>
    <t>13.11.2023</t>
  </si>
  <si>
    <t>231900002</t>
  </si>
  <si>
    <t>Předpis výplaty kuponu k 13.11.2023</t>
  </si>
  <si>
    <t>KBEU0110004</t>
  </si>
  <si>
    <t>Úhrada OZ č. 231900002, Předpis výplaty kuponu k 13.11.2023</t>
  </si>
  <si>
    <t>Tisk vybraných záznamů: Datum &gt;= 01.01.2023</t>
  </si>
  <si>
    <t>23IN00031</t>
  </si>
  <si>
    <t>2300031</t>
  </si>
  <si>
    <t>korekce 308,22 - ve smlouvě úrok kalkulován za pololetí, ne za počet dní</t>
  </si>
  <si>
    <t>výchozí pro IFRS od 1.7.2023</t>
  </si>
  <si>
    <t>22.12.2023</t>
  </si>
  <si>
    <t>231100028</t>
  </si>
  <si>
    <t>Ověření účetní uzávěrky k 31.12.2023</t>
  </si>
  <si>
    <t>9110002937</t>
  </si>
  <si>
    <t>KBEU0120005</t>
  </si>
  <si>
    <t>29.12.2023</t>
  </si>
  <si>
    <t>KBEU0120010</t>
  </si>
  <si>
    <t>31.12.2023</t>
  </si>
  <si>
    <t>231900006</t>
  </si>
  <si>
    <t xml:space="preserve">Předpis srážkové daně </t>
  </si>
  <si>
    <t>23IN00034</t>
  </si>
  <si>
    <t>Dne: 01.03.2024</t>
  </si>
  <si>
    <t>Ostatní provozní náklady - přeplatky</t>
  </si>
  <si>
    <t>přepočet 31.12.2023</t>
  </si>
  <si>
    <t>dle přiznání</t>
  </si>
  <si>
    <t>zůstatek 321</t>
  </si>
  <si>
    <t>zůstatek 341</t>
  </si>
  <si>
    <t>zůstatek 342</t>
  </si>
  <si>
    <t>Kr 342</t>
  </si>
  <si>
    <t>701000</t>
  </si>
  <si>
    <t>Ověření závěrky k 31.12.2023</t>
  </si>
  <si>
    <t>2300026</t>
  </si>
  <si>
    <t>DP audit (odhad dle 2023)</t>
  </si>
  <si>
    <t>Tisk vybraných záznamů: Datum &gt;= 01.01.2023, Datum &lt;= 31.12.2023</t>
  </si>
  <si>
    <t>Počáteční účet rozvažný</t>
  </si>
  <si>
    <t>kr, odepsata</t>
  </si>
  <si>
    <t>428000</t>
  </si>
  <si>
    <t>P&amp;L (zisk)</t>
  </si>
  <si>
    <t>23IN00044</t>
  </si>
  <si>
    <t>Odhad splatné daně 2023</t>
  </si>
  <si>
    <t>nemáme schválení VH, bude vykázáno jako HV min. let</t>
  </si>
  <si>
    <t>ZMĚNA ÚROKOVÉ SAZBY OD 1.7.2023 - 4,8%</t>
  </si>
  <si>
    <t>oprava chyby 2022 - doúčtováno k 1.7.2023</t>
  </si>
  <si>
    <t>Kč</t>
  </si>
  <si>
    <t>K 31. prosinci 2023</t>
  </si>
  <si>
    <t>vratka přeplatku na DPPO</t>
  </si>
  <si>
    <t>24,285</t>
  </si>
  <si>
    <t>ECL</t>
  </si>
  <si>
    <t>096000</t>
  </si>
  <si>
    <t>559000</t>
  </si>
  <si>
    <t>Opravná položka k finančnímu majetku</t>
  </si>
  <si>
    <t>Tvorba účetních opravných položek</t>
  </si>
  <si>
    <t>Stav k 31. prosinci 2023</t>
  </si>
  <si>
    <t>k 31. prosinci 2023</t>
  </si>
  <si>
    <t>Za období 
1. ledna do 31. prosince 2023</t>
  </si>
  <si>
    <t>kontolní číslo</t>
  </si>
  <si>
    <t>Hodnota po ECL</t>
  </si>
  <si>
    <t>Nerozdělený zisk minulých let</t>
  </si>
  <si>
    <t>původní verze</t>
  </si>
  <si>
    <t>Rok: 2024</t>
  </si>
  <si>
    <t>Dne: 23.09.2024</t>
  </si>
  <si>
    <t>03.01.2024</t>
  </si>
  <si>
    <t xml:space="preserve">Úhrada OZ č. 231900006, Předpis srážkové daně </t>
  </si>
  <si>
    <t>23,9031</t>
  </si>
  <si>
    <t>09.01.2024</t>
  </si>
  <si>
    <t>241100002</t>
  </si>
  <si>
    <t>2023138578</t>
  </si>
  <si>
    <t>10.01.2024</t>
  </si>
  <si>
    <t>241100003</t>
  </si>
  <si>
    <t>Provision of the seat and databox December 2023</t>
  </si>
  <si>
    <t>2023138610</t>
  </si>
  <si>
    <t>22.01.2024</t>
  </si>
  <si>
    <t>Úhrada FP č. 241100003, Provision of the seat and databox December 2023</t>
  </si>
  <si>
    <t>24,05784</t>
  </si>
  <si>
    <t>24.01.2024</t>
  </si>
  <si>
    <t>24,785</t>
  </si>
  <si>
    <t>Úhrada FP č. 241100002, Accounting services</t>
  </si>
  <si>
    <t>Úhrada FP č. 231100028, Ověření účetní uzávěrky k 31.12.2023</t>
  </si>
  <si>
    <t>24,10359</t>
  </si>
  <si>
    <t>25.01.2024</t>
  </si>
  <si>
    <t>241100001</t>
  </si>
  <si>
    <t>200240162</t>
  </si>
  <si>
    <t>31.01.2024</t>
  </si>
  <si>
    <t>241100011</t>
  </si>
  <si>
    <t>Out off scope services</t>
  </si>
  <si>
    <t>24,875</t>
  </si>
  <si>
    <t>2413000091</t>
  </si>
  <si>
    <t>241100012</t>
  </si>
  <si>
    <t>Provision of the seat and databox January 2024</t>
  </si>
  <si>
    <t>2413000390</t>
  </si>
  <si>
    <t>24IN00001</t>
  </si>
  <si>
    <t>Úrok z poskytnuté půjčky 01/2024</t>
  </si>
  <si>
    <t>24,885</t>
  </si>
  <si>
    <t>24IN00007</t>
  </si>
  <si>
    <t>Úroky Senior bonds 01/24</t>
  </si>
  <si>
    <t>07.02.2024</t>
  </si>
  <si>
    <t>Úhrada FP č. 241100001, Roční popatek za obchodování na trhu</t>
  </si>
  <si>
    <t>24,1871</t>
  </si>
  <si>
    <t>15.02.2024</t>
  </si>
  <si>
    <t>25,415</t>
  </si>
  <si>
    <t>Úhrada FP č. 241100011, Out off scope services</t>
  </si>
  <si>
    <t>28.02.2024</t>
  </si>
  <si>
    <t>Úhrada FP č. 241100012, Provision of the seat and databox January 2024</t>
  </si>
  <si>
    <t>24,59385</t>
  </si>
  <si>
    <t>29.02.2024</t>
  </si>
  <si>
    <t>241100013</t>
  </si>
  <si>
    <t>Provision of the seat and databox February 2024</t>
  </si>
  <si>
    <t>3413000788</t>
  </si>
  <si>
    <t>24IN00002</t>
  </si>
  <si>
    <t>Úrok z poskytnuté půjčky 02/2024</t>
  </si>
  <si>
    <t>25,36</t>
  </si>
  <si>
    <t>24IN00008</t>
  </si>
  <si>
    <t>Úroky Senior bonds 02/24</t>
  </si>
  <si>
    <t>13.03.2024</t>
  </si>
  <si>
    <t>záloha DPPO 2024</t>
  </si>
  <si>
    <t>25,27</t>
  </si>
  <si>
    <t>22.03.2024</t>
  </si>
  <si>
    <t>Úhrada FP č. 241100013, Provision of the seat and databox February 2024</t>
  </si>
  <si>
    <t>24,39104</t>
  </si>
  <si>
    <t>25.03.2024</t>
  </si>
  <si>
    <t>241100009</t>
  </si>
  <si>
    <t>9110003559</t>
  </si>
  <si>
    <t>Banka výdej B.ZPRÁVA PRO ÚČ. AUDITU-EL DPH</t>
  </si>
  <si>
    <t>25,265</t>
  </si>
  <si>
    <t>31.03.2024</t>
  </si>
  <si>
    <t>241100004</t>
  </si>
  <si>
    <t>Provision of the seat and databox March 2024</t>
  </si>
  <si>
    <t>2413001384</t>
  </si>
  <si>
    <t>241100005</t>
  </si>
  <si>
    <t>25,33</t>
  </si>
  <si>
    <t>2413001443</t>
  </si>
  <si>
    <t>24IN00003</t>
  </si>
  <si>
    <t>Úrok z poskytnuté půjčky 03/2024</t>
  </si>
  <si>
    <t>25,305</t>
  </si>
  <si>
    <t>24IN00009</t>
  </si>
  <si>
    <t>Úroky Senior bonds 03/24</t>
  </si>
  <si>
    <t>25.04.2024</t>
  </si>
  <si>
    <t>Úhrada FP č. 241100004, Provision of the seat and databox March 2024</t>
  </si>
  <si>
    <t>24,37042</t>
  </si>
  <si>
    <t>30.04.2024</t>
  </si>
  <si>
    <t>241100006</t>
  </si>
  <si>
    <t>2413001907</t>
  </si>
  <si>
    <t>241100007</t>
  </si>
  <si>
    <t>Provision of the seat and databox April 2024</t>
  </si>
  <si>
    <t>2413001945</t>
  </si>
  <si>
    <t>24IN00004</t>
  </si>
  <si>
    <t>Úrok z poskytnuté půjčky 04/2024</t>
  </si>
  <si>
    <t>25,145</t>
  </si>
  <si>
    <t>24IN00010</t>
  </si>
  <si>
    <t>Úroky Senior bonds 04/24</t>
  </si>
  <si>
    <t>14.05.2024</t>
  </si>
  <si>
    <t>24,755</t>
  </si>
  <si>
    <t>Úhrada FP č. 241100005, Accounting services</t>
  </si>
  <si>
    <t>Úhrada FP č. 241100009, Ověření účetní uzávěrky k 31.12.2023</t>
  </si>
  <si>
    <t>23,91619</t>
  </si>
  <si>
    <t>15.05.2024</t>
  </si>
  <si>
    <t>241100017</t>
  </si>
  <si>
    <t>24,76</t>
  </si>
  <si>
    <t>2024071097</t>
  </si>
  <si>
    <t>22.05.2024</t>
  </si>
  <si>
    <t>241100010</t>
  </si>
  <si>
    <t>9110004097</t>
  </si>
  <si>
    <t>24.05.2024</t>
  </si>
  <si>
    <t>24,73</t>
  </si>
  <si>
    <t>Úhrada FP č. 241100007, Provision of the seat and databox April 2024</t>
  </si>
  <si>
    <t>23,86621</t>
  </si>
  <si>
    <t>Úhrada FP č. 241100006, Out off scope services</t>
  </si>
  <si>
    <t>29.05.2024</t>
  </si>
  <si>
    <t>Úhrada FP č. 241100017, ESEF</t>
  </si>
  <si>
    <t>KBEU0050014</t>
  </si>
  <si>
    <t>31.05.2024</t>
  </si>
  <si>
    <t>241100008</t>
  </si>
  <si>
    <t>Provision of the seat and databox May 2024</t>
  </si>
  <si>
    <t>2413002593</t>
  </si>
  <si>
    <t>24IN00005</t>
  </si>
  <si>
    <t>Úrok z poskytnuté půjčky 05/2024</t>
  </si>
  <si>
    <t>24IN00011</t>
  </si>
  <si>
    <t>Úroky Senior bonds 05/24</t>
  </si>
  <si>
    <t>04.06.2024</t>
  </si>
  <si>
    <t>Úhrada FP č. 241100010, Ověření účetní uzávěrky k 31.12.2023</t>
  </si>
  <si>
    <t>24,765</t>
  </si>
  <si>
    <t>13.06.2024</t>
  </si>
  <si>
    <t>24,7</t>
  </si>
  <si>
    <t>24.06.2024</t>
  </si>
  <si>
    <t>Úhrada FP č. 241100008, Provision of the seat and databox May 2024</t>
  </si>
  <si>
    <t>24,06704</t>
  </si>
  <si>
    <t>30.06.2024</t>
  </si>
  <si>
    <t>241100014</t>
  </si>
  <si>
    <t>Provision of the seat and databox June 2024</t>
  </si>
  <si>
    <t>2413003284</t>
  </si>
  <si>
    <t>241100016</t>
  </si>
  <si>
    <t>24,72</t>
  </si>
  <si>
    <t>2413003134</t>
  </si>
  <si>
    <t>24IN00006</t>
  </si>
  <si>
    <t>Úrok z poskytnuté půjčky 06/2024</t>
  </si>
  <si>
    <t>25,03</t>
  </si>
  <si>
    <t>24IN00012</t>
  </si>
  <si>
    <t>Úroky Senior bonds 06/24</t>
  </si>
  <si>
    <t>01.01.2024</t>
  </si>
  <si>
    <t>banka příjem - oprava PS z roku 2022</t>
  </si>
  <si>
    <t>24IN00013</t>
  </si>
  <si>
    <t>Oprava PS banka</t>
  </si>
  <si>
    <t>2400013</t>
  </si>
  <si>
    <t>ok souhlasí na výpis</t>
  </si>
  <si>
    <t>Provision of the seat the December 2023</t>
  </si>
  <si>
    <t>Úhrada FP č. 241100003, Provision of the seat the December 2023</t>
  </si>
  <si>
    <t>Úhrada FP č. 241100002, Vedení účetnictví</t>
  </si>
  <si>
    <t>Úhrada FP č. 231100028, Ověření závěrky k 31.12.2023</t>
  </si>
  <si>
    <t>Účetní vícepráce</t>
  </si>
  <si>
    <t>Provision of the seat the January 2024</t>
  </si>
  <si>
    <t>Úhrada FP č. 241100011, Účetní vícepráce</t>
  </si>
  <si>
    <t>Úhrada FP č. 241100012, Provision of the seat the January 2024</t>
  </si>
  <si>
    <t>Provision of the seat the February 2024</t>
  </si>
  <si>
    <t>2413000788</t>
  </si>
  <si>
    <t>Záloha na DPPO 2024</t>
  </si>
  <si>
    <t>24,5366</t>
  </si>
  <si>
    <t>Úhrada FP č. 241100013, Provision of the seat the February 2024</t>
  </si>
  <si>
    <t>4041906110</t>
  </si>
  <si>
    <t>Banka výdej B.ZPRÁVA PRO ÚČ. AUDITU-EL</t>
  </si>
  <si>
    <t>Provision of the seat the March 2024</t>
  </si>
  <si>
    <t>Úhrada FP č. 241100004, Provision of the seat the March 2024</t>
  </si>
  <si>
    <t>Provision of the seat the April 2024</t>
  </si>
  <si>
    <t>Úhrada FP č. 241100005, Vedení účetnictví</t>
  </si>
  <si>
    <t>Úhrada FP č. 241100009, Ověření závěrky k 31.12.2023</t>
  </si>
  <si>
    <t>21.05.2024</t>
  </si>
  <si>
    <t>Úhrada FP č. 241100007, Provision of the seat the April 2024</t>
  </si>
  <si>
    <t>Úhrada FP č. 241100006, Účetní vícepráce</t>
  </si>
  <si>
    <t>Provision of the seat the May 2024</t>
  </si>
  <si>
    <t>Úhrada FP č. 241100010, Ověření závěrky k 31.12.2023</t>
  </si>
  <si>
    <t>Úhrada FP č. 241100008, Provision of the seat the May 2024</t>
  </si>
  <si>
    <t>Provision of the seat the June 2024</t>
  </si>
  <si>
    <t>25,24</t>
  </si>
  <si>
    <t>X</t>
  </si>
  <si>
    <t>odložená daňová pohl. K 31.12.2023</t>
  </si>
  <si>
    <t>Dne: 27.09.2024</t>
  </si>
  <si>
    <t>24IN00014</t>
  </si>
  <si>
    <t>DP audit (odhad dle 2023) - 325248/24,725</t>
  </si>
  <si>
    <t>2300037</t>
  </si>
  <si>
    <t>24IN00015</t>
  </si>
  <si>
    <t>Odložená daň k 30.06.2024</t>
  </si>
  <si>
    <t>2100010</t>
  </si>
  <si>
    <t>24IN00016</t>
  </si>
  <si>
    <t>kurz k 30.6.2024</t>
  </si>
  <si>
    <t>k 30. červnu 2024</t>
  </si>
  <si>
    <t>Za období od 1. ledna do 30. června 2024</t>
  </si>
  <si>
    <t>Za období od 1. ledna do 30. června 2023</t>
  </si>
  <si>
    <t>Stav k 30. červnu 2024</t>
  </si>
  <si>
    <t>základ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</si>
</sst>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0.0000%"/>
    <numFmt numFmtId="166" formatCode="dd\.mm\.yyyy;@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#,##0_);\(#,##0\);&quot;-  &quot;;&quot; &quot;@&quot; &quot;"/>
    <numFmt numFmtId="172" formatCode="0.00%_);\-0.00%_);&quot;-  &quot;;&quot; &quot;@&quot; &quot;"/>
    <numFmt numFmtId="173" formatCode="#,##0.0000_);\(#,##0.0000\);&quot;-  &quot;;&quot; &quot;@&quot; &quot;"/>
    <numFmt numFmtId="174" formatCode="dd\ mmm\ yyyy_);\(###0\);&quot;-  &quot;;&quot; &quot;@&quot; &quot;"/>
    <numFmt numFmtId="175" formatCode="dd\ mmm\ yy_);\(###0\);&quot;-  &quot;;&quot; &quot;@&quot; &quot;"/>
    <numFmt numFmtId="176" formatCode="###0_);\(###0\);&quot;-  &quot;;&quot; &quot;@&quot; &quot;"/>
    <numFmt numFmtId="177" formatCode="#\ ##0.00"/>
    <numFmt numFmtId="178" formatCode="_(* #,##0_);_(* \(#,##0\);_(* &quot;-&quot;??_);_(@_)"/>
    <numFmt numFmtId="179" formatCode="#,##0.00\ &quot;Kč&quot;"/>
    <numFmt numFmtId="180" formatCode="_-* #,##0\ _K_č_-;\-* #,##0\ _K_č_-;_-* &quot;-&quot;??\ _K_č_-;_-@_-"/>
    <numFmt numFmtId="181" formatCode="[$-409]d\-mmm\-yy;@"/>
    <numFmt numFmtId="182" formatCode="#,##0.000"/>
    <numFmt numFmtId="183" formatCode="0.000"/>
    <numFmt numFmtId="184" formatCode="0.000%"/>
  </numFmts>
  <fonts count="13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18"/>
      <name val="Arial"/>
      <family val="2"/>
      <charset val="238"/>
    </font>
    <font>
      <sz val="9"/>
      <color indexed="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indexed="0"/>
      <name val="Arial"/>
      <family val="2"/>
      <charset val="238"/>
    </font>
    <font>
      <sz val="9"/>
      <color indexed="8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8"/>
      <color theme="3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color indexed="18"/>
      <name val="Arial"/>
      <family val="2"/>
      <charset val="238"/>
    </font>
    <font>
      <b/>
      <sz val="16"/>
      <color indexed="4"/>
      <name val="Arial"/>
      <family val="2"/>
      <charset val="238"/>
    </font>
    <font>
      <i/>
      <sz val="9"/>
      <color indexed="0"/>
      <name val="Arial"/>
      <family val="2"/>
      <charset val="238"/>
    </font>
    <font>
      <b/>
      <i/>
      <sz val="9"/>
      <color indexed="4"/>
      <name val="Arial"/>
      <family val="2"/>
      <charset val="238"/>
    </font>
    <font>
      <i/>
      <sz val="8"/>
      <color indexed="0"/>
      <name val="Arial"/>
      <family val="2"/>
      <charset val="238"/>
    </font>
    <font>
      <b/>
      <sz val="9"/>
      <color indexed="0"/>
      <name val="Arial"/>
      <family val="2"/>
      <charset val="238"/>
    </font>
    <font>
      <sz val="9"/>
      <color indexed="23"/>
      <name val="Arial"/>
      <family val="2"/>
      <charset val="238"/>
    </font>
    <font>
      <b/>
      <sz val="9"/>
      <color indexed="18"/>
      <name val="Arial"/>
      <family val="2"/>
      <charset val="238"/>
    </font>
    <font>
      <sz val="8"/>
      <color indexed="1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indexed="0"/>
      <name val="Arial"/>
      <family val="2"/>
      <charset val="238"/>
    </font>
    <font>
      <b/>
      <sz val="9"/>
      <color indexed="18"/>
      <name val="Arial"/>
      <family val="2"/>
      <charset val="238"/>
    </font>
    <font>
      <sz val="9"/>
      <color indexed="18"/>
      <name val="Arial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8"/>
      <color theme="0" tint="-0.34998626667073579"/>
      <name val="Arial"/>
      <family val="2"/>
      <charset val="238"/>
    </font>
    <font>
      <b/>
      <sz val="10"/>
      <color theme="0" tint="-0.249977111117893"/>
      <name val="Calibri"/>
      <family val="2"/>
      <charset val="238"/>
      <scheme val="minor"/>
    </font>
    <font>
      <b/>
      <sz val="8"/>
      <color theme="0" tint="-0.34998626667073579"/>
      <name val="Arial"/>
      <family val="2"/>
      <charset val="238"/>
    </font>
    <font>
      <b/>
      <sz val="9"/>
      <name val="Arial"/>
      <family val="2"/>
      <charset val="238"/>
    </font>
    <font>
      <sz val="9.5"/>
      <color indexed="0"/>
      <name val="Times New Roman"/>
      <family val="1"/>
      <charset val="238"/>
    </font>
    <font>
      <b/>
      <sz val="9.5"/>
      <name val="Times New Roman"/>
      <family val="1"/>
      <charset val="238"/>
    </font>
    <font>
      <b/>
      <i/>
      <sz val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9"/>
      <color theme="0" tint="-0.499984740745262"/>
      <name val="Arial"/>
      <family val="2"/>
      <charset val="238"/>
    </font>
    <font>
      <b/>
      <sz val="9.5"/>
      <color indexed="0"/>
      <name val="Times New Roman"/>
      <family val="1"/>
      <charset val="238"/>
    </font>
    <font>
      <i/>
      <sz val="9.5"/>
      <color indexed="0"/>
      <name val="Times New Roman"/>
      <family val="1"/>
      <charset val="238"/>
    </font>
    <font>
      <sz val="14"/>
      <color indexed="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indexed="0"/>
      <name val="Arial"/>
      <charset val="238"/>
    </font>
    <font>
      <i/>
      <sz val="9"/>
      <color indexed="0"/>
      <name val="Arial"/>
      <charset val="238"/>
    </font>
    <font>
      <b/>
      <i/>
      <sz val="9"/>
      <color indexed="4"/>
      <name val="Arial"/>
      <charset val="238"/>
    </font>
    <font>
      <i/>
      <sz val="8"/>
      <color indexed="0"/>
      <name val="Arial"/>
      <charset val="238"/>
    </font>
    <font>
      <b/>
      <sz val="9"/>
      <color indexed="0"/>
      <name val="Arial"/>
      <charset val="238"/>
    </font>
    <font>
      <sz val="9"/>
      <color indexed="23"/>
      <name val="Arial"/>
      <charset val="238"/>
    </font>
    <font>
      <b/>
      <sz val="9"/>
      <color indexed="18"/>
      <name val="Arial"/>
      <charset val="238"/>
    </font>
    <font>
      <sz val="8"/>
      <color indexed="18"/>
      <name val="Arial"/>
      <charset val="238"/>
    </font>
    <font>
      <b/>
      <sz val="8"/>
      <name val="Book Antiqua"/>
      <family val="1"/>
    </font>
    <font>
      <sz val="8"/>
      <name val="Arial"/>
      <family val="2"/>
      <charset val="238"/>
    </font>
    <font>
      <sz val="8"/>
      <name val="Book Antiqua"/>
      <family val="1"/>
      <charset val="238"/>
    </font>
    <font>
      <b/>
      <sz val="10"/>
      <color indexed="8"/>
      <name val="Arial"/>
      <family val="2"/>
      <charset val="238"/>
    </font>
    <font>
      <sz val="8"/>
      <color theme="0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b/>
      <sz val="14"/>
      <color indexed="18"/>
      <name val="Arial"/>
      <charset val="238"/>
    </font>
    <font>
      <sz val="9"/>
      <color indexed="18"/>
      <name val="Arial"/>
      <charset val="238"/>
    </font>
    <font>
      <b/>
      <sz val="16"/>
      <color indexed="4"/>
      <name val="Arial"/>
      <charset val="238"/>
    </font>
    <font>
      <sz val="11"/>
      <color indexed="8"/>
      <name val="Calibri"/>
      <family val="2"/>
      <scheme val="minor"/>
    </font>
    <font>
      <sz val="11"/>
      <color theme="4"/>
      <name val="Calibri"/>
      <family val="2"/>
      <charset val="238"/>
      <scheme val="minor"/>
    </font>
    <font>
      <b/>
      <sz val="9"/>
      <color theme="4"/>
      <name val="Arial"/>
      <family val="2"/>
      <charset val="238"/>
    </font>
    <font>
      <b/>
      <sz val="12"/>
      <color indexed="18"/>
      <name val="Arial"/>
      <charset val="238"/>
    </font>
    <font>
      <sz val="8"/>
      <color theme="0"/>
      <name val="Book Antiqua"/>
      <family val="1"/>
      <charset val="238"/>
    </font>
    <font>
      <b/>
      <sz val="11"/>
      <color theme="4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786">
    <xf numFmtId="0" fontId="0" fillId="0" borderId="0"/>
    <xf numFmtId="0" fontId="6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1" borderId="18" applyNumberFormat="0" applyAlignment="0" applyProtection="0"/>
    <xf numFmtId="0" fontId="22" fillId="12" borderId="19" applyNumberFormat="0" applyAlignment="0" applyProtection="0"/>
    <xf numFmtId="0" fontId="23" fillId="12" borderId="18" applyNumberFormat="0" applyAlignment="0" applyProtection="0"/>
    <xf numFmtId="0" fontId="24" fillId="0" borderId="20" applyNumberFormat="0" applyFill="0" applyAlignment="0" applyProtection="0"/>
    <xf numFmtId="0" fontId="25" fillId="13" borderId="21" applyNumberFormat="0" applyAlignment="0" applyProtection="0"/>
    <xf numFmtId="0" fontId="9" fillId="0" borderId="0" applyNumberFormat="0" applyFill="0" applyBorder="0" applyAlignment="0" applyProtection="0"/>
    <xf numFmtId="0" fontId="8" fillId="14" borderId="22" applyNumberFormat="0" applyFont="0" applyAlignment="0" applyProtection="0"/>
    <xf numFmtId="0" fontId="26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2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7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7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7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27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30" fillId="0" borderId="0" applyNumberFormat="0" applyFill="0" applyBorder="0" applyAlignment="0" applyProtection="0"/>
    <xf numFmtId="0" fontId="31" fillId="10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34" fillId="48" borderId="0" applyNumberFormat="0" applyBorder="0" applyAlignment="0" applyProtection="0"/>
    <xf numFmtId="0" fontId="34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0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1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0" fontId="37" fillId="57" borderId="24" applyNumberFormat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4" fontId="12" fillId="0" borderId="0" applyFont="0" applyFill="0" applyBorder="0" applyAlignment="0" applyProtection="0">
      <alignment vertical="top"/>
      <protection locked="0"/>
    </xf>
    <xf numFmtId="43" fontId="52" fillId="0" borderId="0" applyFont="0" applyFill="0" applyBorder="0" applyAlignment="0" applyProtection="0"/>
    <xf numFmtId="174" fontId="52" fillId="0" borderId="0" applyFont="0" applyFill="0" applyBorder="0" applyProtection="0">
      <alignment vertical="top"/>
    </xf>
    <xf numFmtId="175" fontId="52" fillId="0" borderId="0" applyFont="0" applyFill="0" applyBorder="0" applyProtection="0">
      <alignment vertical="top"/>
    </xf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34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73" fontId="52" fillId="0" borderId="0" applyFont="0" applyFill="0" applyBorder="0" applyProtection="0">
      <alignment vertical="top"/>
    </xf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1" fillId="0" borderId="26" applyNumberFormat="0" applyFill="0" applyAlignment="0" applyProtection="0"/>
    <xf numFmtId="0" fontId="41" fillId="0" borderId="26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3" fillId="0" borderId="28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38" fillId="58" borderId="29" applyNumberFormat="0" applyAlignment="0" applyProtection="0"/>
    <xf numFmtId="0" fontId="38" fillId="58" borderId="29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0" fontId="45" fillId="44" borderId="24" applyNumberFormat="0" applyAlignment="0" applyProtection="0"/>
    <xf numFmtId="43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8" fontId="52" fillId="0" borderId="0" applyFont="0" applyFill="0" applyBorder="0" applyAlignment="0" applyProtection="0"/>
    <xf numFmtId="0" fontId="46" fillId="0" borderId="30" applyNumberFormat="0" applyFill="0" applyAlignment="0" applyProtection="0"/>
    <xf numFmtId="0" fontId="46" fillId="0" borderId="30" applyNumberFormat="0" applyFill="0" applyAlignment="0" applyProtection="0"/>
    <xf numFmtId="169" fontId="5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32" fillId="0" borderId="0"/>
    <xf numFmtId="0" fontId="8" fillId="0" borderId="0"/>
    <xf numFmtId="0" fontId="55" fillId="0" borderId="0"/>
    <xf numFmtId="0" fontId="55" fillId="0" borderId="0"/>
    <xf numFmtId="171" fontId="52" fillId="0" borderId="0" applyFont="0" applyFill="0" applyBorder="0" applyProtection="0">
      <alignment vertical="top"/>
    </xf>
    <xf numFmtId="0" fontId="32" fillId="0" borderId="0"/>
    <xf numFmtId="0" fontId="12" fillId="0" borderId="0" applyNumberFormat="0" applyFill="0" applyBorder="0" applyAlignment="0" applyProtection="0">
      <alignment vertical="top"/>
      <protection locked="0"/>
    </xf>
    <xf numFmtId="171" fontId="52" fillId="0" borderId="0" applyFont="0" applyFill="0" applyBorder="0" applyProtection="0">
      <alignment vertical="top"/>
    </xf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33" fillId="59" borderId="31" applyNumberFormat="0" applyFon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0" fontId="47" fillId="57" borderId="32" applyNumberFormat="0" applyAlignment="0" applyProtection="0"/>
    <xf numFmtId="172" fontId="52" fillId="0" borderId="0" applyFont="0" applyFill="0" applyBorder="0" applyProtection="0">
      <alignment vertical="top"/>
    </xf>
    <xf numFmtId="0" fontId="51" fillId="14" borderId="22" applyNumberFormat="0" applyFont="0" applyAlignment="0" applyProtection="0"/>
    <xf numFmtId="0" fontId="8" fillId="14" borderId="22" applyNumberFormat="0" applyFont="0" applyAlignment="0" applyProtection="0"/>
    <xf numFmtId="9" fontId="12" fillId="0" borderId="0" applyFont="0" applyFill="0" applyBorder="0" applyAlignment="0" applyProtection="0">
      <alignment vertical="top"/>
      <protection locked="0"/>
    </xf>
    <xf numFmtId="172" fontId="52" fillId="0" borderId="0" applyFont="0" applyFill="0" applyBorder="0" applyProtection="0">
      <alignment vertical="top"/>
    </xf>
    <xf numFmtId="9" fontId="3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6" fillId="0" borderId="0"/>
    <xf numFmtId="0" fontId="3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169" fontId="3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76" fontId="52" fillId="0" borderId="0" applyFont="0" applyFill="0" applyBorder="0" applyProtection="0">
      <alignment vertical="top"/>
    </xf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9" fontId="5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0" fontId="8" fillId="0" borderId="0"/>
    <xf numFmtId="0" fontId="8" fillId="14" borderId="22" applyNumberFormat="0" applyFont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33" fillId="0" borderId="0">
      <alignment vertical="top"/>
    </xf>
    <xf numFmtId="164" fontId="5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32" fillId="0" borderId="0"/>
    <xf numFmtId="164" fontId="8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3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125" fillId="0" borderId="0"/>
  </cellStyleXfs>
  <cellXfs count="52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/>
    <xf numFmtId="3" fontId="1" fillId="0" borderId="0" xfId="0" applyNumberFormat="1" applyFont="1"/>
    <xf numFmtId="10" fontId="1" fillId="2" borderId="0" xfId="0" applyNumberFormat="1" applyFont="1" applyFill="1"/>
    <xf numFmtId="14" fontId="1" fillId="2" borderId="0" xfId="0" applyNumberFormat="1" applyFont="1" applyFill="1"/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right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0" xfId="0" applyNumberFormat="1" applyFont="1"/>
    <xf numFmtId="1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4" fontId="1" fillId="0" borderId="2" xfId="0" applyNumberFormat="1" applyFont="1" applyBorder="1"/>
    <xf numFmtId="0" fontId="1" fillId="0" borderId="2" xfId="0" applyFont="1" applyBorder="1"/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14" fontId="1" fillId="2" borderId="2" xfId="0" applyNumberFormat="1" applyFont="1" applyFill="1" applyBorder="1"/>
    <xf numFmtId="4" fontId="4" fillId="0" borderId="2" xfId="0" applyNumberFormat="1" applyFont="1" applyBorder="1"/>
    <xf numFmtId="0" fontId="4" fillId="3" borderId="0" xfId="0" applyFont="1" applyFill="1" applyAlignment="1">
      <alignment horizontal="center" vertical="center" wrapText="1"/>
    </xf>
    <xf numFmtId="14" fontId="1" fillId="0" borderId="2" xfId="0" applyNumberFormat="1" applyFont="1" applyBorder="1" applyAlignment="1">
      <alignment horizontal="left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/>
    <xf numFmtId="14" fontId="1" fillId="0" borderId="2" xfId="0" applyNumberFormat="1" applyFont="1" applyBorder="1"/>
    <xf numFmtId="165" fontId="5" fillId="0" borderId="2" xfId="1" applyNumberFormat="1" applyFont="1" applyBorder="1"/>
    <xf numFmtId="4" fontId="3" fillId="0" borderId="2" xfId="1" applyNumberFormat="1" applyFont="1" applyBorder="1"/>
    <xf numFmtId="0" fontId="4" fillId="0" borderId="2" xfId="0" applyFont="1" applyBorder="1"/>
    <xf numFmtId="14" fontId="4" fillId="0" borderId="2" xfId="0" applyNumberFormat="1" applyFont="1" applyBorder="1" applyAlignment="1">
      <alignment horizontal="left"/>
    </xf>
    <xf numFmtId="4" fontId="3" fillId="0" borderId="0" xfId="1" applyNumberFormat="1" applyFont="1"/>
    <xf numFmtId="0" fontId="1" fillId="0" borderId="3" xfId="0" applyFont="1" applyBorder="1"/>
    <xf numFmtId="0" fontId="1" fillId="0" borderId="4" xfId="0" applyFont="1" applyBorder="1"/>
    <xf numFmtId="4" fontId="4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/>
    <xf numFmtId="0" fontId="4" fillId="0" borderId="6" xfId="0" applyFont="1" applyBorder="1"/>
    <xf numFmtId="4" fontId="4" fillId="0" borderId="7" xfId="0" applyNumberFormat="1" applyFont="1" applyBorder="1"/>
    <xf numFmtId="0" fontId="1" fillId="0" borderId="6" xfId="0" applyFont="1" applyBorder="1"/>
    <xf numFmtId="4" fontId="3" fillId="0" borderId="7" xfId="1" applyNumberFormat="1" applyFont="1" applyBorder="1"/>
    <xf numFmtId="4" fontId="5" fillId="0" borderId="7" xfId="1" applyNumberFormat="1" applyFont="1" applyBorder="1"/>
    <xf numFmtId="4" fontId="5" fillId="0" borderId="9" xfId="1" applyNumberFormat="1" applyFont="1" applyBorder="1"/>
    <xf numFmtId="4" fontId="3" fillId="0" borderId="10" xfId="1" applyNumberFormat="1" applyFont="1" applyBorder="1"/>
    <xf numFmtId="4" fontId="7" fillId="0" borderId="0" xfId="0" applyNumberFormat="1" applyFont="1"/>
    <xf numFmtId="0" fontId="7" fillId="0" borderId="0" xfId="0" applyFont="1"/>
    <xf numFmtId="0" fontId="1" fillId="2" borderId="6" xfId="0" applyFont="1" applyFill="1" applyBorder="1"/>
    <xf numFmtId="14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/>
    <xf numFmtId="4" fontId="1" fillId="2" borderId="2" xfId="0" applyNumberFormat="1" applyFont="1" applyFill="1" applyBorder="1"/>
    <xf numFmtId="4" fontId="3" fillId="2" borderId="7" xfId="1" applyNumberFormat="1" applyFont="1" applyFill="1" applyBorder="1"/>
    <xf numFmtId="0" fontId="0" fillId="2" borderId="0" xfId="0" applyFill="1"/>
    <xf numFmtId="0" fontId="1" fillId="2" borderId="0" xfId="0" applyFont="1" applyFill="1"/>
    <xf numFmtId="2" fontId="3" fillId="0" borderId="2" xfId="1" applyNumberFormat="1" applyFont="1" applyBorder="1"/>
    <xf numFmtId="0" fontId="0" fillId="5" borderId="0" xfId="0" applyFill="1"/>
    <xf numFmtId="2" fontId="11" fillId="0" borderId="0" xfId="0" applyNumberFormat="1" applyFont="1" applyAlignment="1">
      <alignment horizontal="right" vertical="top" readingOrder="3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4" fontId="0" fillId="0" borderId="0" xfId="0" applyNumberFormat="1"/>
    <xf numFmtId="2" fontId="7" fillId="0" borderId="0" xfId="0" applyNumberFormat="1" applyFont="1"/>
    <xf numFmtId="0" fontId="0" fillId="0" borderId="0" xfId="0" applyAlignment="1">
      <alignment wrapText="1"/>
    </xf>
    <xf numFmtId="2" fontId="1" fillId="0" borderId="0" xfId="0" applyNumberFormat="1" applyFont="1"/>
    <xf numFmtId="4" fontId="3" fillId="2" borderId="2" xfId="1" applyNumberFormat="1" applyFont="1" applyFill="1" applyBorder="1"/>
    <xf numFmtId="164" fontId="0" fillId="0" borderId="0" xfId="2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4" fontId="15" fillId="0" borderId="0" xfId="0" applyNumberFormat="1" applyFont="1" applyAlignment="1">
      <alignment vertical="center" wrapText="1"/>
    </xf>
    <xf numFmtId="3" fontId="14" fillId="0" borderId="14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3" fontId="0" fillId="0" borderId="0" xfId="0" applyNumberFormat="1"/>
    <xf numFmtId="0" fontId="15" fillId="0" borderId="0" xfId="0" applyFont="1" applyAlignment="1">
      <alignment horizontal="left" vertical="center" wrapText="1" indent="1"/>
    </xf>
    <xf numFmtId="14" fontId="15" fillId="0" borderId="0" xfId="0" applyNumberFormat="1" applyFont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3" fontId="14" fillId="0" borderId="0" xfId="0" applyNumberFormat="1" applyFont="1" applyAlignment="1">
      <alignment horizontal="center" vertical="center" wrapText="1"/>
    </xf>
    <xf numFmtId="0" fontId="0" fillId="7" borderId="0" xfId="0" applyFill="1"/>
    <xf numFmtId="0" fontId="14" fillId="0" borderId="11" xfId="0" applyFont="1" applyBorder="1" applyAlignment="1">
      <alignment horizontal="center" vertical="center" wrapText="1"/>
    </xf>
    <xf numFmtId="3" fontId="0" fillId="7" borderId="0" xfId="0" applyNumberFormat="1" applyFill="1"/>
    <xf numFmtId="3" fontId="15" fillId="0" borderId="0" xfId="0" applyNumberFormat="1" applyFont="1" applyAlignment="1">
      <alignment vertical="center" wrapText="1"/>
    </xf>
    <xf numFmtId="14" fontId="15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164" fontId="14" fillId="0" borderId="0" xfId="2" applyFont="1" applyBorder="1" applyAlignment="1">
      <alignment vertical="center" wrapText="1"/>
    </xf>
    <xf numFmtId="0" fontId="28" fillId="0" borderId="0" xfId="38" applyAlignment="1" applyProtection="1"/>
    <xf numFmtId="0" fontId="0" fillId="4" borderId="0" xfId="0" applyFill="1"/>
    <xf numFmtId="0" fontId="4" fillId="0" borderId="8" xfId="0" applyFont="1" applyBorder="1"/>
    <xf numFmtId="14" fontId="4" fillId="0" borderId="9" xfId="0" applyNumberFormat="1" applyFont="1" applyBorder="1" applyAlignment="1">
      <alignment horizontal="left"/>
    </xf>
    <xf numFmtId="0" fontId="4" fillId="0" borderId="9" xfId="0" applyFont="1" applyBorder="1"/>
    <xf numFmtId="4" fontId="4" fillId="0" borderId="9" xfId="0" applyNumberFormat="1" applyFont="1" applyBorder="1"/>
    <xf numFmtId="14" fontId="0" fillId="0" borderId="0" xfId="0" applyNumberFormat="1"/>
    <xf numFmtId="4" fontId="4" fillId="5" borderId="0" xfId="0" applyNumberFormat="1" applyFont="1" applyFill="1"/>
    <xf numFmtId="1" fontId="1" fillId="0" borderId="2" xfId="0" applyNumberFormat="1" applyFont="1" applyBorder="1"/>
    <xf numFmtId="0" fontId="0" fillId="0" borderId="0" xfId="0" applyAlignment="1">
      <alignment horizontal="center"/>
    </xf>
    <xf numFmtId="49" fontId="0" fillId="0" borderId="0" xfId="0" applyNumberFormat="1"/>
    <xf numFmtId="4" fontId="0" fillId="0" borderId="0" xfId="2" applyNumberFormat="1" applyFont="1"/>
    <xf numFmtId="0" fontId="9" fillId="0" borderId="0" xfId="0" applyFont="1"/>
    <xf numFmtId="2" fontId="3" fillId="2" borderId="2" xfId="1" applyNumberFormat="1" applyFont="1" applyFill="1" applyBorder="1"/>
    <xf numFmtId="4" fontId="4" fillId="4" borderId="2" xfId="0" applyNumberFormat="1" applyFont="1" applyFill="1" applyBorder="1"/>
    <xf numFmtId="14" fontId="4" fillId="4" borderId="2" xfId="0" applyNumberFormat="1" applyFont="1" applyFill="1" applyBorder="1"/>
    <xf numFmtId="10" fontId="1" fillId="4" borderId="0" xfId="3" applyNumberFormat="1" applyFont="1" applyFill="1"/>
    <xf numFmtId="10" fontId="1" fillId="0" borderId="0" xfId="3" applyNumberFormat="1" applyFont="1"/>
    <xf numFmtId="4" fontId="0" fillId="6" borderId="0" xfId="0" applyNumberFormat="1" applyFill="1" applyAlignment="1">
      <alignment vertical="top" readingOrder="3"/>
    </xf>
    <xf numFmtId="0" fontId="12" fillId="0" borderId="0" xfId="4" applyAlignment="1" applyProtection="1">
      <alignment vertical="top" readingOrder="3"/>
    </xf>
    <xf numFmtId="177" fontId="60" fillId="0" borderId="0" xfId="4" applyNumberFormat="1" applyFont="1" applyBorder="1" applyAlignment="1" applyProtection="1">
      <alignment horizontal="left" vertical="top" readingOrder="3"/>
    </xf>
    <xf numFmtId="177" fontId="61" fillId="0" borderId="0" xfId="4" applyNumberFormat="1" applyFont="1" applyBorder="1" applyAlignment="1" applyProtection="1">
      <alignment horizontal="left" vertical="top" readingOrder="3"/>
    </xf>
    <xf numFmtId="2" fontId="12" fillId="0" borderId="0" xfId="4" applyNumberFormat="1" applyBorder="1" applyAlignment="1" applyProtection="1">
      <alignment horizontal="right" vertical="top" readingOrder="3"/>
    </xf>
    <xf numFmtId="177" fontId="12" fillId="0" borderId="11" xfId="4" applyNumberFormat="1" applyBorder="1" applyAlignment="1" applyProtection="1">
      <alignment horizontal="left" vertical="top" readingOrder="3"/>
    </xf>
    <xf numFmtId="177" fontId="12" fillId="0" borderId="34" xfId="4" applyNumberFormat="1" applyBorder="1" applyAlignment="1" applyProtection="1">
      <alignment horizontal="left" vertical="top" readingOrder="3"/>
    </xf>
    <xf numFmtId="177" fontId="63" fillId="0" borderId="11" xfId="4" applyNumberFormat="1" applyFont="1" applyBorder="1" applyAlignment="1" applyProtection="1">
      <alignment horizontal="left" vertical="top" readingOrder="3"/>
    </xf>
    <xf numFmtId="177" fontId="64" fillId="0" borderId="11" xfId="4" applyNumberFormat="1" applyFont="1" applyBorder="1" applyAlignment="1" applyProtection="1">
      <alignment horizontal="left" vertical="top" readingOrder="3"/>
    </xf>
    <xf numFmtId="177" fontId="65" fillId="0" borderId="33" xfId="4" applyNumberFormat="1" applyFont="1" applyBorder="1" applyAlignment="1" applyProtection="1">
      <alignment horizontal="center" vertical="top" readingOrder="3"/>
    </xf>
    <xf numFmtId="2" fontId="12" fillId="0" borderId="34" xfId="4" applyNumberFormat="1" applyBorder="1" applyAlignment="1" applyProtection="1">
      <alignment horizontal="right" vertical="top" readingOrder="3"/>
    </xf>
    <xf numFmtId="2" fontId="67" fillId="0" borderId="36" xfId="4" applyNumberFormat="1" applyFont="1" applyBorder="1" applyAlignment="1" applyProtection="1">
      <alignment horizontal="right" vertical="top" readingOrder="3"/>
    </xf>
    <xf numFmtId="177" fontId="67" fillId="0" borderId="36" xfId="4" applyNumberFormat="1" applyFont="1" applyBorder="1" applyAlignment="1" applyProtection="1">
      <alignment horizontal="left" vertical="top" readingOrder="3"/>
    </xf>
    <xf numFmtId="177" fontId="68" fillId="0" borderId="36" xfId="4" applyNumberFormat="1" applyFont="1" applyBorder="1" applyAlignment="1" applyProtection="1">
      <alignment horizontal="left" vertical="top" readingOrder="3"/>
    </xf>
    <xf numFmtId="177" fontId="12" fillId="0" borderId="0" xfId="4" applyNumberFormat="1" applyBorder="1" applyAlignment="1" applyProtection="1">
      <alignment horizontal="left" vertical="top" readingOrder="3"/>
    </xf>
    <xf numFmtId="4" fontId="69" fillId="6" borderId="0" xfId="0" applyNumberFormat="1" applyFont="1" applyFill="1" applyAlignment="1">
      <alignment vertical="top" readingOrder="3"/>
    </xf>
    <xf numFmtId="4" fontId="67" fillId="6" borderId="0" xfId="0" applyNumberFormat="1" applyFont="1" applyFill="1" applyAlignment="1">
      <alignment horizontal="center" vertical="top" readingOrder="3"/>
    </xf>
    <xf numFmtId="4" fontId="70" fillId="6" borderId="0" xfId="0" applyNumberFormat="1" applyFont="1" applyFill="1" applyAlignment="1">
      <alignment horizontal="center" vertical="top" readingOrder="3"/>
    </xf>
    <xf numFmtId="4" fontId="11" fillId="6" borderId="0" xfId="0" applyNumberFormat="1" applyFont="1" applyFill="1" applyAlignment="1">
      <alignment horizontal="right" vertical="top" readingOrder="3"/>
    </xf>
    <xf numFmtId="4" fontId="69" fillId="6" borderId="0" xfId="0" applyNumberFormat="1" applyFont="1" applyFill="1" applyAlignment="1">
      <alignment horizontal="right" vertical="top" readingOrder="3"/>
    </xf>
    <xf numFmtId="166" fontId="0" fillId="0" borderId="0" xfId="0" applyNumberFormat="1" applyAlignment="1">
      <alignment horizontal="left"/>
    </xf>
    <xf numFmtId="2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vertical="top" readingOrder="3"/>
    </xf>
    <xf numFmtId="177" fontId="58" fillId="0" borderId="0" xfId="2755" applyNumberFormat="1" applyBorder="1" applyAlignment="1" applyProtection="1">
      <alignment horizontal="left" vertical="top" readingOrder="3"/>
    </xf>
    <xf numFmtId="177" fontId="71" fillId="0" borderId="0" xfId="2755" applyNumberFormat="1" applyFont="1" applyBorder="1" applyAlignment="1" applyProtection="1">
      <alignment horizontal="left" vertical="top" readingOrder="3"/>
    </xf>
    <xf numFmtId="177" fontId="71" fillId="0" borderId="0" xfId="2755" applyNumberFormat="1" applyFont="1" applyBorder="1" applyAlignment="1" applyProtection="1">
      <alignment horizontal="center" vertical="top" readingOrder="3"/>
    </xf>
    <xf numFmtId="177" fontId="72" fillId="0" borderId="0" xfId="2755" applyNumberFormat="1" applyFont="1" applyBorder="1" applyAlignment="1" applyProtection="1">
      <alignment horizontal="center" vertical="top" readingOrder="3"/>
    </xf>
    <xf numFmtId="177" fontId="73" fillId="0" borderId="0" xfId="2755" applyNumberFormat="1" applyFont="1" applyBorder="1" applyAlignment="1" applyProtection="1">
      <alignment horizontal="center" vertical="top" readingOrder="3"/>
    </xf>
    <xf numFmtId="177" fontId="58" fillId="0" borderId="0" xfId="2755" applyNumberFormat="1" applyBorder="1" applyAlignment="1" applyProtection="1">
      <alignment horizontal="center" vertical="top" readingOrder="3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right" vertical="top" readingOrder="3"/>
    </xf>
    <xf numFmtId="0" fontId="74" fillId="0" borderId="0" xfId="4" applyFont="1" applyBorder="1" applyAlignment="1" applyProtection="1"/>
    <xf numFmtId="4" fontId="75" fillId="0" borderId="0" xfId="0" applyNumberFormat="1" applyFont="1" applyAlignment="1">
      <alignment vertical="top" readingOrder="3"/>
    </xf>
    <xf numFmtId="4" fontId="0" fillId="0" borderId="0" xfId="0" applyNumberFormat="1" applyAlignment="1">
      <alignment vertical="top" readingOrder="3"/>
    </xf>
    <xf numFmtId="0" fontId="0" fillId="0" borderId="0" xfId="0" applyAlignment="1">
      <alignment horizontal="right" vertical="top"/>
    </xf>
    <xf numFmtId="177" fontId="12" fillId="0" borderId="0" xfId="0" applyNumberFormat="1" applyFont="1" applyAlignment="1">
      <alignment horizontal="left" vertical="top" readingOrder="3"/>
    </xf>
    <xf numFmtId="0" fontId="76" fillId="0" borderId="0" xfId="4" applyFont="1" applyBorder="1" applyAlignment="1" applyProtection="1"/>
    <xf numFmtId="4" fontId="77" fillId="0" borderId="0" xfId="0" applyNumberFormat="1" applyFont="1" applyAlignment="1">
      <alignment vertical="top" readingOrder="3"/>
    </xf>
    <xf numFmtId="4" fontId="65" fillId="0" borderId="0" xfId="0" applyNumberFormat="1" applyFont="1" applyAlignment="1">
      <alignment vertical="top" readingOrder="3"/>
    </xf>
    <xf numFmtId="4" fontId="0" fillId="0" borderId="0" xfId="0" applyNumberFormat="1" applyAlignment="1">
      <alignment horizontal="right" vertical="top"/>
    </xf>
    <xf numFmtId="4" fontId="78" fillId="0" borderId="0" xfId="0" applyNumberFormat="1" applyFont="1" applyAlignment="1">
      <alignment vertical="top" readingOrder="3"/>
    </xf>
    <xf numFmtId="0" fontId="78" fillId="0" borderId="0" xfId="0" applyFont="1" applyAlignment="1">
      <alignment vertical="top" readingOrder="3"/>
    </xf>
    <xf numFmtId="0" fontId="12" fillId="3" borderId="0" xfId="0" applyFont="1" applyFill="1" applyAlignment="1">
      <alignment vertical="top" readingOrder="3"/>
    </xf>
    <xf numFmtId="4" fontId="0" fillId="3" borderId="0" xfId="0" applyNumberFormat="1" applyFill="1" applyAlignment="1">
      <alignment vertical="top" readingOrder="3"/>
    </xf>
    <xf numFmtId="0" fontId="78" fillId="3" borderId="0" xfId="0" applyFont="1" applyFill="1" applyAlignment="1">
      <alignment vertical="top" readingOrder="3"/>
    </xf>
    <xf numFmtId="4" fontId="78" fillId="3" borderId="0" xfId="0" applyNumberFormat="1" applyFont="1" applyFill="1" applyAlignment="1">
      <alignment vertical="top" readingOrder="3"/>
    </xf>
    <xf numFmtId="0" fontId="12" fillId="0" borderId="0" xfId="0" applyFont="1" applyAlignment="1">
      <alignment vertical="top" readingOrder="3"/>
    </xf>
    <xf numFmtId="0" fontId="79" fillId="0" borderId="0" xfId="0" applyFont="1" applyAlignment="1">
      <alignment vertical="top" readingOrder="3"/>
    </xf>
    <xf numFmtId="0" fontId="80" fillId="0" borderId="0" xfId="0" applyFont="1" applyAlignment="1">
      <alignment horizontal="center" vertical="top"/>
    </xf>
    <xf numFmtId="0" fontId="81" fillId="3" borderId="0" xfId="0" applyFont="1" applyFill="1" applyAlignment="1">
      <alignment vertical="top" readingOrder="3"/>
    </xf>
    <xf numFmtId="0" fontId="82" fillId="0" borderId="0" xfId="0" applyFont="1" applyAlignment="1">
      <alignment horizontal="center" vertical="top"/>
    </xf>
    <xf numFmtId="0" fontId="0" fillId="3" borderId="0" xfId="0" applyFill="1" applyAlignment="1">
      <alignment horizontal="center" vertical="top"/>
    </xf>
    <xf numFmtId="4" fontId="82" fillId="0" borderId="0" xfId="0" applyNumberFormat="1" applyFont="1" applyAlignment="1">
      <alignment vertical="top" readingOrder="3"/>
    </xf>
    <xf numFmtId="4" fontId="83" fillId="0" borderId="0" xfId="0" applyNumberFormat="1" applyFont="1" applyAlignment="1">
      <alignment vertical="top" readingOrder="3"/>
    </xf>
    <xf numFmtId="0" fontId="81" fillId="0" borderId="0" xfId="0" applyFont="1" applyAlignment="1">
      <alignment vertical="top" readingOrder="3"/>
    </xf>
    <xf numFmtId="0" fontId="84" fillId="0" borderId="0" xfId="0" applyFont="1" applyAlignment="1">
      <alignment vertical="center" wrapText="1" readingOrder="3"/>
    </xf>
    <xf numFmtId="0" fontId="85" fillId="0" borderId="0" xfId="0" applyFont="1" applyAlignment="1">
      <alignment vertical="center" wrapText="1" readingOrder="3"/>
    </xf>
    <xf numFmtId="0" fontId="79" fillId="0" borderId="0" xfId="0" applyFont="1" applyAlignment="1">
      <alignment vertical="center" wrapText="1" readingOrder="3"/>
    </xf>
    <xf numFmtId="3" fontId="79" fillId="0" borderId="0" xfId="0" applyNumberFormat="1" applyFont="1" applyAlignment="1">
      <alignment vertical="top" readingOrder="3"/>
    </xf>
    <xf numFmtId="9" fontId="79" fillId="0" borderId="0" xfId="0" applyNumberFormat="1" applyFont="1" applyAlignment="1">
      <alignment horizontal="center" vertical="top"/>
    </xf>
    <xf numFmtId="1" fontId="79" fillId="0" borderId="0" xfId="0" applyNumberFormat="1" applyFont="1" applyAlignment="1">
      <alignment vertical="top" readingOrder="3"/>
    </xf>
    <xf numFmtId="164" fontId="0" fillId="0" borderId="0" xfId="552" applyFont="1" applyAlignment="1" applyProtection="1">
      <alignment vertical="top" readingOrder="3"/>
    </xf>
    <xf numFmtId="3" fontId="79" fillId="0" borderId="36" xfId="0" applyNumberFormat="1" applyFont="1" applyBorder="1" applyAlignment="1">
      <alignment vertical="top" readingOrder="3"/>
    </xf>
    <xf numFmtId="9" fontId="79" fillId="0" borderId="36" xfId="0" applyNumberFormat="1" applyFont="1" applyBorder="1" applyAlignment="1">
      <alignment horizontal="center" vertical="top"/>
    </xf>
    <xf numFmtId="1" fontId="79" fillId="0" borderId="36" xfId="0" applyNumberFormat="1" applyFont="1" applyBorder="1" applyAlignment="1">
      <alignment vertical="top" readingOrder="3"/>
    </xf>
    <xf numFmtId="0" fontId="79" fillId="0" borderId="0" xfId="0" applyFont="1" applyAlignment="1">
      <alignment horizontal="center" vertical="top"/>
    </xf>
    <xf numFmtId="0" fontId="80" fillId="0" borderId="0" xfId="0" applyFont="1" applyAlignment="1">
      <alignment vertical="top" readingOrder="3"/>
    </xf>
    <xf numFmtId="9" fontId="80" fillId="0" borderId="37" xfId="3" applyFont="1" applyFill="1" applyBorder="1" applyAlignment="1" applyProtection="1">
      <alignment horizontal="center" vertical="top"/>
    </xf>
    <xf numFmtId="1" fontId="80" fillId="0" borderId="37" xfId="0" applyNumberFormat="1" applyFont="1" applyBorder="1" applyAlignment="1">
      <alignment vertical="top" readingOrder="3"/>
    </xf>
    <xf numFmtId="0" fontId="84" fillId="0" borderId="0" xfId="0" applyFont="1" applyAlignment="1">
      <alignment horizontal="center" vertical="center" wrapText="1"/>
    </xf>
    <xf numFmtId="0" fontId="84" fillId="0" borderId="0" xfId="0" applyFont="1" applyAlignment="1">
      <alignment vertical="center" wrapText="1"/>
    </xf>
    <xf numFmtId="0" fontId="79" fillId="0" borderId="0" xfId="0" applyFont="1" applyAlignment="1">
      <alignment horizontal="right" vertical="center" wrapText="1" readingOrder="3"/>
    </xf>
    <xf numFmtId="9" fontId="79" fillId="0" borderId="0" xfId="0" applyNumberFormat="1" applyFont="1" applyAlignment="1">
      <alignment horizontal="right" wrapText="1"/>
    </xf>
    <xf numFmtId="178" fontId="15" fillId="0" borderId="35" xfId="0" applyNumberFormat="1" applyFont="1" applyBorder="1" applyAlignment="1">
      <alignment horizontal="right"/>
    </xf>
    <xf numFmtId="178" fontId="14" fillId="0" borderId="37" xfId="0" applyNumberFormat="1" applyFont="1" applyBorder="1" applyAlignment="1">
      <alignment horizontal="right"/>
    </xf>
    <xf numFmtId="9" fontId="84" fillId="0" borderId="37" xfId="0" applyNumberFormat="1" applyFont="1" applyBorder="1" applyAlignment="1">
      <alignment horizontal="right" wrapText="1" readingOrder="3"/>
    </xf>
    <xf numFmtId="178" fontId="13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 vertical="top"/>
    </xf>
    <xf numFmtId="4" fontId="10" fillId="0" borderId="0" xfId="0" applyNumberFormat="1" applyFont="1" applyAlignment="1">
      <alignment vertical="top" readingOrder="3"/>
    </xf>
    <xf numFmtId="4" fontId="12" fillId="0" borderId="0" xfId="0" applyNumberFormat="1" applyFont="1" applyAlignment="1">
      <alignment vertical="top" readingOrder="3"/>
    </xf>
    <xf numFmtId="4" fontId="3" fillId="0" borderId="2" xfId="0" applyNumberFormat="1" applyFont="1" applyBorder="1"/>
    <xf numFmtId="0" fontId="3" fillId="0" borderId="2" xfId="0" applyFont="1" applyBorder="1"/>
    <xf numFmtId="179" fontId="3" fillId="0" borderId="2" xfId="0" applyNumberFormat="1" applyFont="1" applyBorder="1"/>
    <xf numFmtId="2" fontId="3" fillId="0" borderId="2" xfId="0" applyNumberFormat="1" applyFont="1" applyBorder="1"/>
    <xf numFmtId="44" fontId="3" fillId="0" borderId="2" xfId="0" applyNumberFormat="1" applyFont="1" applyBorder="1"/>
    <xf numFmtId="44" fontId="3" fillId="0" borderId="0" xfId="0" applyNumberFormat="1" applyFont="1"/>
    <xf numFmtId="3" fontId="1" fillId="0" borderId="2" xfId="0" applyNumberFormat="1" applyFont="1" applyBorder="1"/>
    <xf numFmtId="4" fontId="5" fillId="5" borderId="0" xfId="0" applyNumberFormat="1" applyFont="1" applyFill="1"/>
    <xf numFmtId="2" fontId="1" fillId="2" borderId="0" xfId="0" applyNumberFormat="1" applyFont="1" applyFill="1"/>
    <xf numFmtId="180" fontId="0" fillId="0" borderId="0" xfId="2" applyNumberFormat="1" applyFont="1"/>
    <xf numFmtId="0" fontId="87" fillId="0" borderId="0" xfId="2756" applyFont="1" applyAlignment="1"/>
    <xf numFmtId="0" fontId="88" fillId="0" borderId="0" xfId="0" applyFont="1"/>
    <xf numFmtId="0" fontId="89" fillId="0" borderId="0" xfId="2756" applyFont="1" applyAlignment="1"/>
    <xf numFmtId="0" fontId="90" fillId="0" borderId="0" xfId="0" applyFont="1"/>
    <xf numFmtId="15" fontId="91" fillId="0" borderId="0" xfId="2756" applyNumberFormat="1" applyFont="1" applyAlignment="1">
      <alignment horizontal="left"/>
    </xf>
    <xf numFmtId="0" fontId="92" fillId="0" borderId="0" xfId="0" applyFont="1"/>
    <xf numFmtId="15" fontId="91" fillId="0" borderId="0" xfId="2756" applyNumberFormat="1" applyFont="1" applyAlignment="1">
      <alignment horizontal="right"/>
    </xf>
    <xf numFmtId="0" fontId="93" fillId="0" borderId="0" xfId="2756" applyFont="1" applyAlignment="1"/>
    <xf numFmtId="15" fontId="91" fillId="0" borderId="0" xfId="2756" quotePrefix="1" applyNumberFormat="1" applyFont="1" applyAlignment="1">
      <alignment horizontal="center" wrapText="1"/>
    </xf>
    <xf numFmtId="0" fontId="91" fillId="0" borderId="0" xfId="2756" applyFont="1" applyAlignment="1">
      <alignment horizontal="right"/>
    </xf>
    <xf numFmtId="0" fontId="94" fillId="0" borderId="0" xfId="0" applyFont="1"/>
    <xf numFmtId="178" fontId="94" fillId="0" borderId="0" xfId="0" applyNumberFormat="1" applyFont="1" applyAlignment="1">
      <alignment horizontal="right"/>
    </xf>
    <xf numFmtId="0" fontId="95" fillId="0" borderId="0" xfId="0" applyFont="1"/>
    <xf numFmtId="178" fontId="95" fillId="0" borderId="38" xfId="0" applyNumberFormat="1" applyFont="1" applyBorder="1" applyAlignment="1">
      <alignment horizontal="right"/>
    </xf>
    <xf numFmtId="3" fontId="88" fillId="0" borderId="0" xfId="533" applyNumberFormat="1" applyFont="1" applyFill="1" applyBorder="1"/>
    <xf numFmtId="3" fontId="88" fillId="0" borderId="0" xfId="0" applyNumberFormat="1" applyFont="1"/>
    <xf numFmtId="178" fontId="95" fillId="0" borderId="36" xfId="0" applyNumberFormat="1" applyFont="1" applyBorder="1" applyAlignment="1">
      <alignment horizontal="right"/>
    </xf>
    <xf numFmtId="0" fontId="91" fillId="0" borderId="0" xfId="2756" applyFont="1" applyAlignment="1"/>
    <xf numFmtId="3" fontId="91" fillId="0" borderId="0" xfId="0" applyNumberFormat="1" applyFont="1"/>
    <xf numFmtId="178" fontId="95" fillId="0" borderId="37" xfId="0" applyNumberFormat="1" applyFont="1" applyBorder="1" applyAlignment="1">
      <alignment horizontal="right"/>
    </xf>
    <xf numFmtId="0" fontId="96" fillId="0" borderId="0" xfId="2756" applyFont="1" applyAlignment="1"/>
    <xf numFmtId="178" fontId="88" fillId="0" borderId="0" xfId="0" applyNumberFormat="1" applyFont="1"/>
    <xf numFmtId="0" fontId="88" fillId="0" borderId="0" xfId="0" applyFont="1" applyAlignment="1">
      <alignment horizontal="right"/>
    </xf>
    <xf numFmtId="0" fontId="89" fillId="0" borderId="0" xfId="0" applyFont="1"/>
    <xf numFmtId="164" fontId="91" fillId="0" borderId="0" xfId="2757" applyFont="1" applyFill="1" applyBorder="1" applyAlignment="1"/>
    <xf numFmtId="164" fontId="96" fillId="0" borderId="0" xfId="2757" applyFont="1" applyFill="1" applyBorder="1" applyAlignment="1">
      <alignment horizontal="left" wrapText="1"/>
    </xf>
    <xf numFmtId="164" fontId="97" fillId="0" borderId="0" xfId="2757" applyFont="1" applyFill="1" applyBorder="1" applyAlignment="1">
      <alignment horizontal="right" vertical="top" wrapText="1"/>
    </xf>
    <xf numFmtId="178" fontId="98" fillId="0" borderId="0" xfId="0" applyNumberFormat="1" applyFont="1" applyAlignment="1">
      <alignment horizontal="right"/>
    </xf>
    <xf numFmtId="164" fontId="96" fillId="0" borderId="0" xfId="2757" applyFont="1" applyFill="1" applyBorder="1" applyAlignment="1"/>
    <xf numFmtId="164" fontId="99" fillId="0" borderId="0" xfId="2757" applyFont="1" applyFill="1" applyBorder="1" applyAlignment="1"/>
    <xf numFmtId="3" fontId="88" fillId="0" borderId="0" xfId="2758" applyNumberFormat="1" applyFont="1" applyFill="1" applyAlignment="1">
      <alignment horizontal="right"/>
    </xf>
    <xf numFmtId="164" fontId="97" fillId="0" borderId="0" xfId="2757" applyFont="1" applyFill="1" applyBorder="1" applyAlignment="1">
      <alignment horizontal="right"/>
    </xf>
    <xf numFmtId="178" fontId="95" fillId="0" borderId="0" xfId="0" applyNumberFormat="1" applyFont="1" applyAlignment="1">
      <alignment horizontal="right"/>
    </xf>
    <xf numFmtId="3" fontId="88" fillId="0" borderId="0" xfId="2758" applyNumberFormat="1" applyFont="1" applyFill="1" applyBorder="1" applyAlignment="1">
      <alignment horizontal="right"/>
    </xf>
    <xf numFmtId="3" fontId="88" fillId="60" borderId="0" xfId="2758" applyNumberFormat="1" applyFont="1" applyFill="1" applyBorder="1" applyAlignment="1">
      <alignment horizontal="right"/>
    </xf>
    <xf numFmtId="164" fontId="96" fillId="0" borderId="0" xfId="2757" applyFont="1" applyFill="1" applyBorder="1" applyAlignment="1">
      <alignment vertical="top" wrapText="1"/>
    </xf>
    <xf numFmtId="3" fontId="96" fillId="0" borderId="0" xfId="2758" applyNumberFormat="1" applyFont="1" applyFill="1" applyBorder="1" applyAlignment="1">
      <alignment horizontal="right"/>
    </xf>
    <xf numFmtId="3" fontId="94" fillId="0" borderId="0" xfId="533" applyNumberFormat="1" applyFont="1" applyFill="1" applyAlignment="1">
      <alignment horizontal="right"/>
    </xf>
    <xf numFmtId="178" fontId="94" fillId="0" borderId="0" xfId="533" applyNumberFormat="1" applyFont="1" applyFill="1" applyBorder="1" applyAlignment="1">
      <alignment horizontal="right"/>
    </xf>
    <xf numFmtId="178" fontId="96" fillId="0" borderId="0" xfId="2758" applyNumberFormat="1" applyFont="1" applyFill="1" applyBorder="1" applyAlignment="1">
      <alignment horizontal="right"/>
    </xf>
    <xf numFmtId="178" fontId="95" fillId="0" borderId="36" xfId="2758" applyNumberFormat="1" applyFont="1" applyFill="1" applyBorder="1" applyAlignment="1">
      <alignment horizontal="right"/>
    </xf>
    <xf numFmtId="164" fontId="88" fillId="0" borderId="0" xfId="552" applyFont="1" applyAlignment="1" applyProtection="1"/>
    <xf numFmtId="178" fontId="94" fillId="0" borderId="0" xfId="2758" applyNumberFormat="1" applyFont="1" applyFill="1" applyBorder="1" applyAlignment="1">
      <alignment horizontal="right"/>
    </xf>
    <xf numFmtId="178" fontId="95" fillId="0" borderId="36" xfId="533" applyNumberFormat="1" applyFont="1" applyFill="1" applyBorder="1" applyAlignment="1">
      <alignment horizontal="right"/>
    </xf>
    <xf numFmtId="164" fontId="91" fillId="0" borderId="0" xfId="2757" applyFont="1" applyFill="1" applyBorder="1" applyAlignment="1">
      <alignment vertical="top" wrapText="1"/>
    </xf>
    <xf numFmtId="178" fontId="95" fillId="0" borderId="37" xfId="2758" applyNumberFormat="1" applyFont="1" applyFill="1" applyBorder="1" applyAlignment="1">
      <alignment horizontal="right"/>
    </xf>
    <xf numFmtId="164" fontId="99" fillId="0" borderId="0" xfId="2757" applyFont="1" applyFill="1" applyBorder="1"/>
    <xf numFmtId="3" fontId="99" fillId="0" borderId="0" xfId="2758" applyNumberFormat="1" applyFont="1" applyFill="1" applyBorder="1" applyAlignment="1">
      <alignment horizontal="right"/>
    </xf>
    <xf numFmtId="164" fontId="100" fillId="0" borderId="0" xfId="2757" applyFont="1" applyFill="1" applyBorder="1"/>
    <xf numFmtId="3" fontId="91" fillId="0" borderId="0" xfId="533" applyNumberFormat="1" applyFont="1" applyFill="1" applyBorder="1" applyAlignment="1">
      <alignment horizontal="right"/>
    </xf>
    <xf numFmtId="178" fontId="88" fillId="0" borderId="0" xfId="0" applyNumberFormat="1" applyFont="1" applyAlignment="1">
      <alignment horizontal="right"/>
    </xf>
    <xf numFmtId="49" fontId="88" fillId="0" borderId="0" xfId="0" applyNumberFormat="1" applyFont="1" applyAlignment="1">
      <alignment horizontal="right"/>
    </xf>
    <xf numFmtId="178" fontId="97" fillId="0" borderId="0" xfId="533" applyNumberFormat="1" applyFont="1" applyFill="1" applyBorder="1" applyAlignment="1">
      <alignment horizontal="right"/>
    </xf>
    <xf numFmtId="178" fontId="99" fillId="0" borderId="0" xfId="2758" applyNumberFormat="1" applyFont="1" applyFill="1" applyBorder="1" applyAlignment="1">
      <alignment horizontal="right"/>
    </xf>
    <xf numFmtId="178" fontId="91" fillId="0" borderId="0" xfId="533" applyNumberFormat="1" applyFont="1" applyFill="1" applyBorder="1" applyAlignment="1">
      <alignment horizontal="right"/>
    </xf>
    <xf numFmtId="164" fontId="101" fillId="0" borderId="0" xfId="2757" applyFont="1" applyFill="1" applyBorder="1"/>
    <xf numFmtId="164" fontId="99" fillId="0" borderId="0" xfId="2757" applyFont="1" applyFill="1" applyBorder="1" applyAlignment="1">
      <alignment horizontal="right"/>
    </xf>
    <xf numFmtId="0" fontId="91" fillId="0" borderId="0" xfId="0" applyFont="1" applyAlignment="1">
      <alignment horizontal="right"/>
    </xf>
    <xf numFmtId="181" fontId="91" fillId="0" borderId="0" xfId="2756" applyNumberFormat="1" applyFont="1" applyAlignment="1">
      <alignment horizontal="left"/>
    </xf>
    <xf numFmtId="178" fontId="95" fillId="0" borderId="0" xfId="533" applyNumberFormat="1" applyFont="1" applyFill="1" applyBorder="1" applyAlignment="1">
      <alignment horizontal="center" vertical="center" wrapText="1"/>
    </xf>
    <xf numFmtId="178" fontId="102" fillId="0" borderId="0" xfId="533" applyNumberFormat="1" applyFont="1" applyFill="1" applyBorder="1" applyAlignment="1">
      <alignment horizontal="center" vertical="center" wrapText="1"/>
    </xf>
    <xf numFmtId="3" fontId="95" fillId="0" borderId="36" xfId="533" applyNumberFormat="1" applyFont="1" applyFill="1" applyBorder="1"/>
    <xf numFmtId="3" fontId="102" fillId="0" borderId="0" xfId="533" applyNumberFormat="1" applyFont="1" applyFill="1" applyBorder="1"/>
    <xf numFmtId="0" fontId="98" fillId="0" borderId="0" xfId="0" applyFont="1" applyAlignment="1">
      <alignment wrapText="1"/>
    </xf>
    <xf numFmtId="3" fontId="94" fillId="0" borderId="0" xfId="533" applyNumberFormat="1" applyFont="1" applyFill="1" applyBorder="1"/>
    <xf numFmtId="3" fontId="94" fillId="60" borderId="0" xfId="533" applyNumberFormat="1" applyFont="1" applyFill="1" applyBorder="1"/>
    <xf numFmtId="178" fontId="95" fillId="0" borderId="0" xfId="533" applyNumberFormat="1" applyFont="1" applyFill="1" applyBorder="1" applyAlignment="1">
      <alignment horizontal="right"/>
    </xf>
    <xf numFmtId="3" fontId="95" fillId="0" borderId="0" xfId="533" applyNumberFormat="1" applyFont="1" applyFill="1" applyBorder="1"/>
    <xf numFmtId="3" fontId="95" fillId="60" borderId="0" xfId="533" applyNumberFormat="1" applyFont="1" applyFill="1" applyBorder="1"/>
    <xf numFmtId="0" fontId="97" fillId="0" borderId="0" xfId="2759" applyFont="1"/>
    <xf numFmtId="3" fontId="103" fillId="0" borderId="0" xfId="0" applyNumberFormat="1" applyFont="1"/>
    <xf numFmtId="3" fontId="95" fillId="0" borderId="36" xfId="0" applyNumberFormat="1" applyFont="1" applyBorder="1" applyAlignment="1">
      <alignment horizontal="right"/>
    </xf>
    <xf numFmtId="3" fontId="95" fillId="0" borderId="0" xfId="0" applyNumberFormat="1" applyFont="1" applyAlignment="1">
      <alignment horizontal="right"/>
    </xf>
    <xf numFmtId="178" fontId="88" fillId="0" borderId="0" xfId="533" applyNumberFormat="1" applyFont="1" applyFill="1" applyBorder="1"/>
    <xf numFmtId="4" fontId="9" fillId="0" borderId="0" xfId="0" applyNumberFormat="1" applyFont="1"/>
    <xf numFmtId="4" fontId="9" fillId="61" borderId="0" xfId="0" applyNumberFormat="1" applyFont="1" applyFill="1"/>
    <xf numFmtId="178" fontId="15" fillId="0" borderId="0" xfId="0" applyNumberFormat="1" applyFont="1" applyAlignment="1">
      <alignment horizontal="right"/>
    </xf>
    <xf numFmtId="0" fontId="0" fillId="0" borderId="11" xfId="0" applyBorder="1"/>
    <xf numFmtId="0" fontId="104" fillId="0" borderId="11" xfId="0" applyFont="1" applyBorder="1" applyAlignment="1">
      <alignment horizontal="center" vertical="center" wrapText="1"/>
    </xf>
    <xf numFmtId="0" fontId="105" fillId="0" borderId="0" xfId="0" applyFont="1" applyAlignment="1">
      <alignment horizontal="left" vertical="center" indent="1"/>
    </xf>
    <xf numFmtId="0" fontId="104" fillId="0" borderId="0" xfId="0" applyFont="1" applyAlignment="1">
      <alignment horizontal="center" vertical="center" wrapText="1"/>
    </xf>
    <xf numFmtId="0" fontId="104" fillId="0" borderId="0" xfId="0" applyFont="1" applyAlignment="1">
      <alignment horizontal="right" vertical="center"/>
    </xf>
    <xf numFmtId="0" fontId="106" fillId="0" borderId="35" xfId="0" applyFont="1" applyBorder="1" applyAlignment="1">
      <alignment vertical="center"/>
    </xf>
    <xf numFmtId="0" fontId="106" fillId="0" borderId="35" xfId="0" applyFont="1" applyBorder="1" applyAlignment="1">
      <alignment horizontal="center" vertical="center" wrapText="1"/>
    </xf>
    <xf numFmtId="178" fontId="94" fillId="0" borderId="35" xfId="0" applyNumberFormat="1" applyFont="1" applyBorder="1" applyAlignment="1">
      <alignment horizontal="right"/>
    </xf>
    <xf numFmtId="0" fontId="106" fillId="0" borderId="0" xfId="0" applyFont="1" applyAlignment="1">
      <alignment vertical="center"/>
    </xf>
    <xf numFmtId="0" fontId="106" fillId="0" borderId="0" xfId="0" applyFont="1" applyAlignment="1">
      <alignment horizontal="center" vertical="center" wrapText="1"/>
    </xf>
    <xf numFmtId="0" fontId="106" fillId="0" borderId="0" xfId="0" applyFont="1" applyAlignment="1">
      <alignment horizontal="left" vertical="center" indent="1"/>
    </xf>
    <xf numFmtId="0" fontId="106" fillId="0" borderId="0" xfId="0" applyFont="1" applyAlignment="1">
      <alignment horizontal="right" vertical="center"/>
    </xf>
    <xf numFmtId="0" fontId="106" fillId="0" borderId="35" xfId="0" applyFont="1" applyBorder="1" applyAlignment="1">
      <alignment horizontal="left" vertical="center" inden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05" fillId="0" borderId="1" xfId="0" applyFont="1" applyBorder="1" applyAlignment="1">
      <alignment vertical="center"/>
    </xf>
    <xf numFmtId="0" fontId="106" fillId="0" borderId="1" xfId="0" applyFont="1" applyBorder="1" applyAlignment="1">
      <alignment horizontal="center" vertical="center" wrapText="1"/>
    </xf>
    <xf numFmtId="178" fontId="95" fillId="0" borderId="1" xfId="0" applyNumberFormat="1" applyFont="1" applyBorder="1" applyAlignment="1">
      <alignment horizontal="right"/>
    </xf>
    <xf numFmtId="0" fontId="105" fillId="0" borderId="1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07" fillId="0" borderId="39" xfId="0" applyFont="1" applyBorder="1" applyAlignment="1">
      <alignment vertical="center"/>
    </xf>
    <xf numFmtId="0" fontId="13" fillId="0" borderId="39" xfId="0" applyFont="1" applyBorder="1" applyAlignment="1">
      <alignment horizontal="center" vertical="center" wrapText="1"/>
    </xf>
    <xf numFmtId="178" fontId="95" fillId="0" borderId="39" xfId="0" applyNumberFormat="1" applyFont="1" applyBorder="1" applyAlignment="1">
      <alignment horizontal="right"/>
    </xf>
    <xf numFmtId="0" fontId="106" fillId="0" borderId="40" xfId="0" applyFont="1" applyBorder="1" applyAlignment="1">
      <alignment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right" vertical="center"/>
    </xf>
    <xf numFmtId="0" fontId="105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/>
    </xf>
    <xf numFmtId="1" fontId="88" fillId="0" borderId="0" xfId="0" applyNumberFormat="1" applyFont="1" applyAlignment="1">
      <alignment horizontal="center"/>
    </xf>
    <xf numFmtId="1" fontId="96" fillId="0" borderId="0" xfId="2756" applyNumberFormat="1" applyFont="1" applyAlignment="1">
      <alignment horizontal="center"/>
    </xf>
    <xf numFmtId="1" fontId="101" fillId="0" borderId="0" xfId="2757" applyNumberFormat="1" applyFont="1" applyFill="1" applyBorder="1" applyAlignment="1">
      <alignment horizontal="center"/>
    </xf>
    <xf numFmtId="1" fontId="100" fillId="0" borderId="0" xfId="2757" applyNumberFormat="1" applyFont="1" applyFill="1" applyBorder="1" applyAlignment="1">
      <alignment horizontal="center"/>
    </xf>
    <xf numFmtId="1" fontId="91" fillId="0" borderId="0" xfId="2757" applyNumberFormat="1" applyFont="1" applyFill="1" applyBorder="1" applyAlignment="1">
      <alignment horizontal="center" vertical="top" wrapText="1"/>
    </xf>
    <xf numFmtId="1" fontId="96" fillId="0" borderId="0" xfId="2757" applyNumberFormat="1" applyFont="1" applyFill="1" applyBorder="1" applyAlignment="1">
      <alignment horizontal="center" vertical="top" wrapText="1"/>
    </xf>
    <xf numFmtId="1" fontId="97" fillId="0" borderId="0" xfId="2757" applyNumberFormat="1" applyFont="1" applyFill="1" applyBorder="1" applyAlignment="1">
      <alignment horizontal="center"/>
    </xf>
    <xf numFmtId="1" fontId="99" fillId="0" borderId="0" xfId="2757" applyNumberFormat="1" applyFont="1" applyFill="1" applyBorder="1" applyAlignment="1">
      <alignment horizontal="center"/>
    </xf>
    <xf numFmtId="1" fontId="96" fillId="0" borderId="0" xfId="2757" applyNumberFormat="1" applyFont="1" applyFill="1" applyBorder="1" applyAlignment="1">
      <alignment horizontal="center"/>
    </xf>
    <xf numFmtId="1" fontId="97" fillId="0" borderId="0" xfId="2757" applyNumberFormat="1" applyFont="1" applyFill="1" applyBorder="1" applyAlignment="1">
      <alignment horizontal="center" vertical="top" wrapText="1"/>
    </xf>
    <xf numFmtId="1" fontId="96" fillId="0" borderId="0" xfId="2757" applyNumberFormat="1" applyFont="1" applyFill="1" applyBorder="1" applyAlignment="1">
      <alignment horizontal="center" wrapText="1"/>
    </xf>
    <xf numFmtId="1" fontId="91" fillId="0" borderId="0" xfId="2757" applyNumberFormat="1" applyFont="1" applyFill="1" applyBorder="1" applyAlignment="1">
      <alignment horizontal="center"/>
    </xf>
    <xf numFmtId="1" fontId="89" fillId="0" borderId="0" xfId="0" applyNumberFormat="1" applyFont="1" applyAlignment="1">
      <alignment horizontal="center"/>
    </xf>
    <xf numFmtId="1" fontId="92" fillId="0" borderId="0" xfId="0" applyNumberFormat="1" applyFont="1" applyAlignment="1">
      <alignment horizontal="center"/>
    </xf>
    <xf numFmtId="1" fontId="91" fillId="0" borderId="0" xfId="2756" applyNumberFormat="1" applyFont="1" applyAlignment="1">
      <alignment horizontal="center"/>
    </xf>
    <xf numFmtId="1" fontId="89" fillId="0" borderId="0" xfId="2756" applyNumberFormat="1" applyFont="1" applyAlignment="1">
      <alignment horizontal="center"/>
    </xf>
    <xf numFmtId="1" fontId="87" fillId="0" borderId="0" xfId="2756" applyNumberFormat="1" applyFont="1" applyAlignment="1">
      <alignment horizontal="center"/>
    </xf>
    <xf numFmtId="1" fontId="95" fillId="0" borderId="0" xfId="0" applyNumberFormat="1" applyFont="1" applyAlignment="1">
      <alignment horizontal="center" wrapText="1"/>
    </xf>
    <xf numFmtId="0" fontId="91" fillId="0" borderId="0" xfId="2756" applyFont="1" applyAlignment="1">
      <alignment horizontal="center"/>
    </xf>
    <xf numFmtId="0" fontId="95" fillId="0" borderId="0" xfId="0" applyFont="1" applyAlignment="1">
      <alignment horizontal="center"/>
    </xf>
    <xf numFmtId="0" fontId="94" fillId="0" borderId="0" xfId="0" applyFont="1" applyAlignment="1">
      <alignment horizontal="center"/>
    </xf>
    <xf numFmtId="0" fontId="102" fillId="0" borderId="0" xfId="0" applyFont="1" applyAlignment="1">
      <alignment horizontal="center" wrapText="1"/>
    </xf>
    <xf numFmtId="0" fontId="1" fillId="62" borderId="6" xfId="0" applyFont="1" applyFill="1" applyBorder="1"/>
    <xf numFmtId="14" fontId="1" fillId="62" borderId="2" xfId="0" applyNumberFormat="1" applyFont="1" applyFill="1" applyBorder="1" applyAlignment="1">
      <alignment horizontal="left"/>
    </xf>
    <xf numFmtId="0" fontId="1" fillId="62" borderId="2" xfId="0" applyFont="1" applyFill="1" applyBorder="1"/>
    <xf numFmtId="4" fontId="1" fillId="62" borderId="2" xfId="0" applyNumberFormat="1" applyFont="1" applyFill="1" applyBorder="1"/>
    <xf numFmtId="4" fontId="3" fillId="62" borderId="2" xfId="1" applyNumberFormat="1" applyFont="1" applyFill="1" applyBorder="1"/>
    <xf numFmtId="4" fontId="4" fillId="62" borderId="7" xfId="0" applyNumberFormat="1" applyFont="1" applyFill="1" applyBorder="1"/>
    <xf numFmtId="4" fontId="1" fillId="62" borderId="0" xfId="0" applyNumberFormat="1" applyFont="1" applyFill="1"/>
    <xf numFmtId="0" fontId="1" fillId="62" borderId="0" xfId="0" applyFont="1" applyFill="1"/>
    <xf numFmtId="4" fontId="3" fillId="62" borderId="7" xfId="1" applyNumberFormat="1" applyFont="1" applyFill="1" applyBorder="1"/>
    <xf numFmtId="4" fontId="3" fillId="62" borderId="0" xfId="1" applyNumberFormat="1" applyFont="1" applyFill="1"/>
    <xf numFmtId="177" fontId="108" fillId="0" borderId="0" xfId="2784" applyNumberFormat="1" applyBorder="1" applyAlignment="1" applyProtection="1">
      <alignment horizontal="left" vertical="top" readingOrder="3"/>
    </xf>
    <xf numFmtId="177" fontId="108" fillId="0" borderId="34" xfId="2784" applyNumberFormat="1" applyBorder="1" applyAlignment="1" applyProtection="1">
      <alignment horizontal="left" vertical="top" readingOrder="3"/>
    </xf>
    <xf numFmtId="177" fontId="108" fillId="0" borderId="35" xfId="2784" applyNumberFormat="1" applyBorder="1" applyAlignment="1" applyProtection="1">
      <alignment horizontal="left" vertical="top" readingOrder="3"/>
    </xf>
    <xf numFmtId="15" fontId="95" fillId="0" borderId="0" xfId="0" applyNumberFormat="1" applyFont="1" applyAlignment="1">
      <alignment horizontal="center"/>
    </xf>
    <xf numFmtId="0" fontId="116" fillId="0" borderId="0" xfId="1024" applyFont="1" applyProtection="1">
      <protection hidden="1"/>
    </xf>
    <xf numFmtId="0" fontId="116" fillId="63" borderId="0" xfId="1024" applyFont="1" applyFill="1" applyProtection="1">
      <protection locked="0"/>
    </xf>
    <xf numFmtId="0" fontId="117" fillId="0" borderId="0" xfId="1024" applyFont="1"/>
    <xf numFmtId="10" fontId="116" fillId="0" borderId="0" xfId="1024" applyNumberFormat="1" applyFont="1" applyProtection="1">
      <protection locked="0"/>
    </xf>
    <xf numFmtId="0" fontId="116" fillId="62" borderId="0" xfId="1024" applyFont="1" applyFill="1" applyProtection="1">
      <protection hidden="1"/>
    </xf>
    <xf numFmtId="14" fontId="117" fillId="0" borderId="0" xfId="1024" applyNumberFormat="1" applyFont="1"/>
    <xf numFmtId="0" fontId="117" fillId="0" borderId="0" xfId="1024" applyFont="1" applyProtection="1">
      <protection hidden="1"/>
    </xf>
    <xf numFmtId="0" fontId="116" fillId="0" borderId="42" xfId="1024" applyFont="1" applyBorder="1" applyAlignment="1" applyProtection="1">
      <alignment horizontal="center" vertical="center" wrapText="1"/>
      <protection hidden="1"/>
    </xf>
    <xf numFmtId="0" fontId="116" fillId="0" borderId="43" xfId="1024" applyFont="1" applyBorder="1" applyAlignment="1" applyProtection="1">
      <alignment horizontal="center" vertical="center" wrapText="1"/>
      <protection hidden="1"/>
    </xf>
    <xf numFmtId="0" fontId="116" fillId="0" borderId="0" xfId="1024" applyFont="1" applyAlignment="1" applyProtection="1">
      <alignment horizontal="center" vertical="center" wrapText="1"/>
      <protection hidden="1"/>
    </xf>
    <xf numFmtId="0" fontId="117" fillId="0" borderId="0" xfId="1024" applyFont="1" applyAlignment="1">
      <alignment horizontal="center" vertical="center" wrapText="1"/>
    </xf>
    <xf numFmtId="0" fontId="116" fillId="64" borderId="44" xfId="1024" applyFont="1" applyFill="1" applyBorder="1" applyProtection="1">
      <protection hidden="1"/>
    </xf>
    <xf numFmtId="14" fontId="116" fillId="64" borderId="45" xfId="1024" applyNumberFormat="1" applyFont="1" applyFill="1" applyBorder="1" applyProtection="1">
      <protection locked="0"/>
    </xf>
    <xf numFmtId="0" fontId="116" fillId="64" borderId="45" xfId="1024" applyFont="1" applyFill="1" applyBorder="1" applyProtection="1">
      <protection hidden="1"/>
    </xf>
    <xf numFmtId="0" fontId="116" fillId="64" borderId="45" xfId="1024" applyFont="1" applyFill="1" applyBorder="1" applyProtection="1">
      <protection locked="0"/>
    </xf>
    <xf numFmtId="43" fontId="116" fillId="64" borderId="45" xfId="553" applyFont="1" applyFill="1" applyBorder="1" applyProtection="1">
      <protection locked="0"/>
    </xf>
    <xf numFmtId="10" fontId="116" fillId="64" borderId="45" xfId="1024" applyNumberFormat="1" applyFont="1" applyFill="1" applyBorder="1" applyProtection="1">
      <protection hidden="1"/>
    </xf>
    <xf numFmtId="43" fontId="116" fillId="64" borderId="45" xfId="553" applyFont="1" applyFill="1" applyBorder="1" applyProtection="1">
      <protection hidden="1"/>
    </xf>
    <xf numFmtId="43" fontId="116" fillId="64" borderId="46" xfId="553" applyFont="1" applyFill="1" applyBorder="1" applyProtection="1">
      <protection locked="0"/>
    </xf>
    <xf numFmtId="43" fontId="116" fillId="64" borderId="0" xfId="553" applyFont="1" applyFill="1" applyBorder="1" applyProtection="1">
      <protection locked="0"/>
    </xf>
    <xf numFmtId="14" fontId="117" fillId="0" borderId="47" xfId="1024" applyNumberFormat="1" applyFont="1" applyBorder="1" applyProtection="1">
      <protection hidden="1"/>
    </xf>
    <xf numFmtId="14" fontId="117" fillId="65" borderId="48" xfId="1024" applyNumberFormat="1" applyFont="1" applyFill="1" applyBorder="1" applyProtection="1">
      <protection locked="0"/>
    </xf>
    <xf numFmtId="0" fontId="117" fillId="0" borderId="48" xfId="1024" applyFont="1" applyBorder="1" applyProtection="1">
      <protection hidden="1"/>
    </xf>
    <xf numFmtId="0" fontId="117" fillId="65" borderId="48" xfId="1024" applyFont="1" applyFill="1" applyBorder="1" applyAlignment="1" applyProtection="1">
      <alignment horizontal="center"/>
      <protection locked="0"/>
    </xf>
    <xf numFmtId="43" fontId="118" fillId="65" borderId="48" xfId="553" applyFont="1" applyFill="1" applyBorder="1" applyAlignment="1" applyProtection="1">
      <alignment horizontal="center"/>
      <protection locked="0"/>
    </xf>
    <xf numFmtId="43" fontId="118" fillId="0" borderId="48" xfId="553" applyFont="1" applyBorder="1" applyProtection="1">
      <protection hidden="1"/>
    </xf>
    <xf numFmtId="10" fontId="117" fillId="0" borderId="48" xfId="1024" applyNumberFormat="1" applyFont="1" applyBorder="1" applyProtection="1">
      <protection hidden="1"/>
    </xf>
    <xf numFmtId="43" fontId="118" fillId="0" borderId="49" xfId="553" applyFont="1" applyBorder="1" applyProtection="1">
      <protection hidden="1"/>
    </xf>
    <xf numFmtId="43" fontId="118" fillId="0" borderId="0" xfId="553" applyFont="1" applyBorder="1" applyProtection="1">
      <protection hidden="1"/>
    </xf>
    <xf numFmtId="43" fontId="118" fillId="0" borderId="45" xfId="553" applyFont="1" applyBorder="1" applyProtection="1">
      <protection hidden="1"/>
    </xf>
    <xf numFmtId="0" fontId="117" fillId="65" borderId="50" xfId="1024" applyFont="1" applyFill="1" applyBorder="1" applyAlignment="1" applyProtection="1">
      <alignment horizontal="center"/>
      <protection locked="0"/>
    </xf>
    <xf numFmtId="43" fontId="118" fillId="65" borderId="50" xfId="553" applyFont="1" applyFill="1" applyBorder="1" applyAlignment="1" applyProtection="1">
      <alignment horizontal="center"/>
      <protection locked="0"/>
    </xf>
    <xf numFmtId="0" fontId="117" fillId="0" borderId="50" xfId="1024" applyFont="1" applyBorder="1" applyProtection="1">
      <protection hidden="1"/>
    </xf>
    <xf numFmtId="14" fontId="117" fillId="0" borderId="51" xfId="1024" applyNumberFormat="1" applyFont="1" applyBorder="1" applyProtection="1">
      <protection hidden="1"/>
    </xf>
    <xf numFmtId="0" fontId="117" fillId="0" borderId="52" xfId="1024" applyFont="1" applyBorder="1" applyProtection="1">
      <protection hidden="1"/>
    </xf>
    <xf numFmtId="43" fontId="118" fillId="0" borderId="52" xfId="553" applyFont="1" applyBorder="1" applyProtection="1">
      <protection hidden="1"/>
    </xf>
    <xf numFmtId="10" fontId="117" fillId="0" borderId="52" xfId="1024" applyNumberFormat="1" applyFont="1" applyBorder="1" applyProtection="1">
      <protection hidden="1"/>
    </xf>
    <xf numFmtId="43" fontId="118" fillId="0" borderId="53" xfId="553" applyFont="1" applyBorder="1" applyProtection="1">
      <protection hidden="1"/>
    </xf>
    <xf numFmtId="14" fontId="117" fillId="0" borderId="0" xfId="1024" applyNumberFormat="1" applyFont="1" applyProtection="1">
      <protection hidden="1"/>
    </xf>
    <xf numFmtId="0" fontId="119" fillId="0" borderId="0" xfId="1024" applyFont="1"/>
    <xf numFmtId="164" fontId="117" fillId="0" borderId="0" xfId="1024" applyNumberFormat="1" applyFont="1" applyProtection="1">
      <protection hidden="1"/>
    </xf>
    <xf numFmtId="10" fontId="120" fillId="5" borderId="48" xfId="1024" applyNumberFormat="1" applyFont="1" applyFill="1" applyBorder="1" applyProtection="1">
      <protection hidden="1"/>
    </xf>
    <xf numFmtId="4" fontId="121" fillId="5" borderId="0" xfId="0" applyNumberFormat="1" applyFont="1" applyFill="1"/>
    <xf numFmtId="4" fontId="121" fillId="5" borderId="0" xfId="1" applyNumberFormat="1" applyFont="1" applyFill="1"/>
    <xf numFmtId="0" fontId="121" fillId="5" borderId="0" xfId="0" applyFont="1" applyFill="1"/>
    <xf numFmtId="14" fontId="12" fillId="0" borderId="0" xfId="0" applyNumberFormat="1" applyFont="1" applyAlignment="1">
      <alignment horizontal="left" vertical="top" readingOrder="3"/>
    </xf>
    <xf numFmtId="14" fontId="29" fillId="0" borderId="0" xfId="2761" applyNumberFormat="1" applyFont="1" applyAlignment="1" applyProtection="1">
      <alignment horizontal="left" vertical="top"/>
    </xf>
    <xf numFmtId="14" fontId="12" fillId="0" borderId="0" xfId="40" applyNumberFormat="1" applyFont="1" applyAlignment="1">
      <alignment horizontal="left" vertical="top" readingOrder="3"/>
    </xf>
    <xf numFmtId="14" fontId="125" fillId="0" borderId="0" xfId="2785" applyNumberFormat="1" applyAlignment="1">
      <alignment horizontal="left"/>
    </xf>
    <xf numFmtId="182" fontId="0" fillId="6" borderId="0" xfId="0" applyNumberFormat="1" applyFill="1" applyAlignment="1">
      <alignment vertical="top" readingOrder="3"/>
    </xf>
    <xf numFmtId="182" fontId="67" fillId="6" borderId="0" xfId="0" applyNumberFormat="1" applyFont="1" applyFill="1" applyAlignment="1">
      <alignment horizontal="center" vertical="top" readingOrder="3"/>
    </xf>
    <xf numFmtId="182" fontId="11" fillId="6" borderId="0" xfId="0" applyNumberFormat="1" applyFont="1" applyFill="1" applyAlignment="1">
      <alignment horizontal="right" vertical="top" readingOrder="3"/>
    </xf>
    <xf numFmtId="4" fontId="121" fillId="5" borderId="0" xfId="1" applyNumberFormat="1" applyFont="1" applyFill="1" applyAlignment="1">
      <alignment horizontal="left" vertical="top"/>
    </xf>
    <xf numFmtId="4" fontId="12" fillId="0" borderId="34" xfId="4" applyNumberFormat="1" applyBorder="1" applyAlignment="1" applyProtection="1">
      <alignment horizontal="right" vertical="top" readingOrder="3"/>
    </xf>
    <xf numFmtId="4" fontId="12" fillId="0" borderId="0" xfId="4" applyNumberFormat="1" applyBorder="1" applyAlignment="1" applyProtection="1">
      <alignment horizontal="right" vertical="top" readingOrder="3"/>
    </xf>
    <xf numFmtId="0" fontId="126" fillId="0" borderId="0" xfId="0" applyFont="1"/>
    <xf numFmtId="177" fontId="127" fillId="0" borderId="0" xfId="4" applyNumberFormat="1" applyFont="1" applyFill="1" applyBorder="1" applyAlignment="1" applyProtection="1">
      <alignment horizontal="center" vertical="top" readingOrder="3"/>
    </xf>
    <xf numFmtId="4" fontId="126" fillId="0" borderId="0" xfId="0" applyNumberFormat="1" applyFont="1"/>
    <xf numFmtId="4" fontId="27" fillId="5" borderId="0" xfId="0" applyNumberFormat="1" applyFont="1" applyFill="1"/>
    <xf numFmtId="0" fontId="27" fillId="5" borderId="0" xfId="0" applyFont="1" applyFill="1"/>
    <xf numFmtId="2" fontId="1" fillId="0" borderId="2" xfId="0" applyNumberFormat="1" applyFont="1" applyBorder="1"/>
    <xf numFmtId="2" fontId="1" fillId="2" borderId="2" xfId="0" applyNumberFormat="1" applyFont="1" applyFill="1" applyBorder="1"/>
    <xf numFmtId="4" fontId="0" fillId="2" borderId="0" xfId="0" applyNumberFormat="1" applyFill="1"/>
    <xf numFmtId="0" fontId="108" fillId="0" borderId="0" xfId="2784" applyAlignment="1" applyProtection="1">
      <alignment vertical="top" readingOrder="3"/>
    </xf>
    <xf numFmtId="177" fontId="123" fillId="0" borderId="0" xfId="2784" applyNumberFormat="1" applyFont="1" applyBorder="1" applyAlignment="1" applyProtection="1">
      <alignment horizontal="center" vertical="top" readingOrder="3"/>
    </xf>
    <xf numFmtId="177" fontId="108" fillId="0" borderId="0" xfId="2784" applyNumberFormat="1" applyBorder="1" applyAlignment="1" applyProtection="1">
      <alignment horizontal="center" vertical="top" readingOrder="3"/>
    </xf>
    <xf numFmtId="2" fontId="123" fillId="0" borderId="0" xfId="2784" applyNumberFormat="1" applyFont="1" applyBorder="1" applyAlignment="1" applyProtection="1">
      <alignment horizontal="right" vertical="top" readingOrder="3"/>
    </xf>
    <xf numFmtId="177" fontId="123" fillId="0" borderId="0" xfId="2784" applyNumberFormat="1" applyFont="1" applyBorder="1" applyAlignment="1" applyProtection="1">
      <alignment horizontal="left" vertical="top" readingOrder="3"/>
    </xf>
    <xf numFmtId="2" fontId="108" fillId="0" borderId="0" xfId="2784" applyNumberFormat="1" applyBorder="1" applyAlignment="1" applyProtection="1">
      <alignment horizontal="right" vertical="top" readingOrder="3"/>
    </xf>
    <xf numFmtId="2" fontId="0" fillId="2" borderId="0" xfId="0" applyNumberFormat="1" applyFill="1"/>
    <xf numFmtId="177" fontId="122" fillId="0" borderId="0" xfId="2784" applyNumberFormat="1" applyFont="1" applyBorder="1" applyAlignment="1" applyProtection="1">
      <alignment horizontal="left" vertical="top" readingOrder="3"/>
    </xf>
    <xf numFmtId="4" fontId="108" fillId="0" borderId="34" xfId="2784" applyNumberFormat="1" applyBorder="1" applyAlignment="1" applyProtection="1">
      <alignment horizontal="left" vertical="top" readingOrder="3"/>
    </xf>
    <xf numFmtId="2" fontId="112" fillId="0" borderId="35" xfId="2784" applyNumberFormat="1" applyFont="1" applyBorder="1" applyAlignment="1" applyProtection="1">
      <alignment horizontal="right" vertical="top" readingOrder="3"/>
    </xf>
    <xf numFmtId="177" fontId="108" fillId="0" borderId="40" xfId="2784" applyNumberFormat="1" applyBorder="1" applyAlignment="1" applyProtection="1">
      <alignment horizontal="left" vertical="top" readingOrder="3"/>
    </xf>
    <xf numFmtId="177" fontId="108" fillId="0" borderId="54" xfId="2784" applyNumberFormat="1" applyBorder="1" applyAlignment="1" applyProtection="1">
      <alignment horizontal="left" vertical="top" readingOrder="3"/>
    </xf>
    <xf numFmtId="177" fontId="112" fillId="0" borderId="40" xfId="2784" applyNumberFormat="1" applyFont="1" applyBorder="1" applyAlignment="1" applyProtection="1">
      <alignment horizontal="left" vertical="top" readingOrder="3"/>
    </xf>
    <xf numFmtId="177" fontId="112" fillId="0" borderId="35" xfId="2784" applyNumberFormat="1" applyFont="1" applyBorder="1" applyAlignment="1" applyProtection="1">
      <alignment horizontal="left" vertical="top" readingOrder="3"/>
    </xf>
    <xf numFmtId="177" fontId="112" fillId="0" borderId="35" xfId="2784" applyNumberFormat="1" applyFont="1" applyBorder="1" applyAlignment="1" applyProtection="1">
      <alignment horizontal="right" vertical="top" readingOrder="3"/>
    </xf>
    <xf numFmtId="183" fontId="0" fillId="0" borderId="0" xfId="0" applyNumberFormat="1" applyAlignment="1">
      <alignment vertical="top" readingOrder="3"/>
    </xf>
    <xf numFmtId="177" fontId="112" fillId="0" borderId="0" xfId="2784" applyNumberFormat="1" applyFont="1" applyBorder="1" applyAlignment="1" applyProtection="1">
      <alignment horizontal="left" vertical="top" readingOrder="3"/>
    </xf>
    <xf numFmtId="177" fontId="112" fillId="0" borderId="0" xfId="2784" applyNumberFormat="1" applyFont="1" applyBorder="1" applyAlignment="1" applyProtection="1">
      <alignment horizontal="center" vertical="top" readingOrder="3"/>
    </xf>
    <xf numFmtId="177" fontId="114" fillId="0" borderId="0" xfId="2784" applyNumberFormat="1" applyFont="1" applyBorder="1" applyAlignment="1" applyProtection="1">
      <alignment horizontal="center" vertical="top" readingOrder="3"/>
    </xf>
    <xf numFmtId="0" fontId="106" fillId="0" borderId="0" xfId="0" applyFont="1" applyAlignment="1">
      <alignment horizontal="left" vertical="center" wrapText="1"/>
    </xf>
    <xf numFmtId="178" fontId="94" fillId="0" borderId="0" xfId="0" applyNumberFormat="1" applyFont="1" applyAlignment="1">
      <alignment horizontal="right" vertical="center"/>
    </xf>
    <xf numFmtId="178" fontId="0" fillId="0" borderId="0" xfId="0" applyNumberFormat="1" applyAlignment="1">
      <alignment vertical="top" readingOrder="3"/>
    </xf>
    <xf numFmtId="43" fontId="129" fillId="5" borderId="0" xfId="553" applyFont="1" applyFill="1" applyBorder="1" applyProtection="1">
      <protection hidden="1"/>
    </xf>
    <xf numFmtId="164" fontId="117" fillId="0" borderId="0" xfId="1024" applyNumberFormat="1" applyFont="1"/>
    <xf numFmtId="43" fontId="129" fillId="5" borderId="48" xfId="553" applyFont="1" applyFill="1" applyBorder="1" applyProtection="1">
      <protection hidden="1"/>
    </xf>
    <xf numFmtId="177" fontId="11" fillId="0" borderId="0" xfId="2784" applyNumberFormat="1" applyFont="1" applyBorder="1" applyAlignment="1" applyProtection="1">
      <alignment horizontal="left" vertical="top" readingOrder="3"/>
    </xf>
    <xf numFmtId="177" fontId="11" fillId="0" borderId="0" xfId="2784" applyNumberFormat="1" applyFont="1" applyBorder="1" applyAlignment="1" applyProtection="1">
      <alignment horizontal="center" vertical="top" readingOrder="3"/>
    </xf>
    <xf numFmtId="2" fontId="11" fillId="0" borderId="0" xfId="2784" applyNumberFormat="1" applyFont="1" applyBorder="1" applyAlignment="1" applyProtection="1">
      <alignment horizontal="right" vertical="top" readingOrder="3"/>
    </xf>
    <xf numFmtId="1" fontId="0" fillId="0" borderId="0" xfId="0" applyNumberFormat="1"/>
    <xf numFmtId="177" fontId="11" fillId="0" borderId="0" xfId="4" applyNumberFormat="1" applyFont="1" applyBorder="1" applyAlignment="1" applyProtection="1">
      <alignment horizontal="center" vertical="top" readingOrder="3"/>
    </xf>
    <xf numFmtId="177" fontId="12" fillId="0" borderId="0" xfId="4" applyNumberFormat="1" applyBorder="1" applyAlignment="1" applyProtection="1">
      <alignment horizontal="center" vertical="top" readingOrder="3"/>
    </xf>
    <xf numFmtId="2" fontId="11" fillId="0" borderId="0" xfId="4" applyNumberFormat="1" applyFont="1" applyBorder="1" applyAlignment="1" applyProtection="1">
      <alignment horizontal="right" vertical="top" readingOrder="3"/>
    </xf>
    <xf numFmtId="177" fontId="11" fillId="0" borderId="0" xfId="4" applyNumberFormat="1" applyFont="1" applyBorder="1" applyAlignment="1" applyProtection="1">
      <alignment horizontal="left" vertical="top" readingOrder="3"/>
    </xf>
    <xf numFmtId="0" fontId="129" fillId="5" borderId="0" xfId="553" applyNumberFormat="1" applyFont="1" applyFill="1" applyBorder="1" applyAlignment="1" applyProtection="1">
      <alignment vertical="top"/>
      <protection hidden="1"/>
    </xf>
    <xf numFmtId="0" fontId="0" fillId="62" borderId="0" xfId="0" applyFill="1"/>
    <xf numFmtId="4" fontId="121" fillId="0" borderId="0" xfId="1" applyNumberFormat="1" applyFont="1"/>
    <xf numFmtId="4" fontId="121" fillId="0" borderId="0" xfId="1" applyNumberFormat="1" applyFont="1" applyAlignment="1">
      <alignment horizontal="left" vertical="top"/>
    </xf>
    <xf numFmtId="4" fontId="121" fillId="0" borderId="0" xfId="0" applyNumberFormat="1" applyFont="1"/>
    <xf numFmtId="10" fontId="1" fillId="0" borderId="0" xfId="3" applyNumberFormat="1" applyFont="1" applyFill="1"/>
    <xf numFmtId="183" fontId="0" fillId="0" borderId="0" xfId="0" applyNumberFormat="1"/>
    <xf numFmtId="183" fontId="125" fillId="0" borderId="0" xfId="2785" applyNumberFormat="1"/>
    <xf numFmtId="4" fontId="12" fillId="0" borderId="0" xfId="4" applyNumberFormat="1" applyAlignment="1" applyProtection="1">
      <alignment vertical="top" readingOrder="3"/>
    </xf>
    <xf numFmtId="4" fontId="62" fillId="0" borderId="11" xfId="4" applyNumberFormat="1" applyFont="1" applyBorder="1" applyAlignment="1" applyProtection="1">
      <alignment horizontal="left" vertical="top" readingOrder="3"/>
    </xf>
    <xf numFmtId="4" fontId="12" fillId="0" borderId="11" xfId="4" applyNumberFormat="1" applyBorder="1" applyAlignment="1" applyProtection="1">
      <alignment horizontal="left" vertical="top" readingOrder="3"/>
    </xf>
    <xf numFmtId="4" fontId="12" fillId="0" borderId="11" xfId="4" applyNumberFormat="1" applyBorder="1" applyAlignment="1" applyProtection="1">
      <alignment horizontal="right" vertical="top" readingOrder="3"/>
    </xf>
    <xf numFmtId="4" fontId="65" fillId="0" borderId="33" xfId="4" applyNumberFormat="1" applyFont="1" applyBorder="1" applyAlignment="1" applyProtection="1">
      <alignment horizontal="center" vertical="top" readingOrder="3"/>
    </xf>
    <xf numFmtId="4" fontId="66" fillId="0" borderId="34" xfId="4" applyNumberFormat="1" applyFont="1" applyBorder="1" applyAlignment="1" applyProtection="1">
      <alignment horizontal="right" vertical="top" readingOrder="3"/>
    </xf>
    <xf numFmtId="4" fontId="67" fillId="0" borderId="36" xfId="4" applyNumberFormat="1" applyFont="1" applyBorder="1" applyAlignment="1" applyProtection="1">
      <alignment horizontal="right" vertical="top" readingOrder="3"/>
    </xf>
    <xf numFmtId="4" fontId="12" fillId="0" borderId="34" xfId="4" applyNumberFormat="1" applyBorder="1" applyAlignment="1" applyProtection="1">
      <alignment horizontal="left" vertical="top" readingOrder="3"/>
    </xf>
    <xf numFmtId="0" fontId="0" fillId="66" borderId="0" xfId="0" applyFill="1"/>
    <xf numFmtId="4" fontId="0" fillId="66" borderId="0" xfId="0" applyNumberFormat="1" applyFill="1"/>
    <xf numFmtId="4" fontId="27" fillId="0" borderId="0" xfId="0" applyNumberFormat="1" applyFont="1"/>
    <xf numFmtId="177" fontId="108" fillId="0" borderId="0" xfId="2784" applyNumberFormat="1" applyBorder="1" applyAlignment="1" applyProtection="1">
      <alignment horizontal="right" vertical="top" readingOrder="3"/>
    </xf>
    <xf numFmtId="4" fontId="3" fillId="2" borderId="0" xfId="1" applyNumberFormat="1" applyFont="1" applyFill="1"/>
    <xf numFmtId="177" fontId="124" fillId="0" borderId="0" xfId="2784" applyNumberFormat="1" applyFont="1" applyBorder="1" applyAlignment="1" applyProtection="1">
      <alignment horizontal="left" vertical="top" readingOrder="3"/>
    </xf>
    <xf numFmtId="9" fontId="0" fillId="0" borderId="0" xfId="0" applyNumberFormat="1" applyAlignment="1">
      <alignment horizontal="center" vertical="top"/>
    </xf>
    <xf numFmtId="177" fontId="128" fillId="0" borderId="0" xfId="2784" applyNumberFormat="1" applyFont="1" applyBorder="1" applyAlignment="1" applyProtection="1">
      <alignment horizontal="left" vertical="top" readingOrder="3"/>
    </xf>
    <xf numFmtId="2" fontId="113" fillId="0" borderId="0" xfId="2784" applyNumberFormat="1" applyFont="1" applyBorder="1" applyAlignment="1" applyProtection="1">
      <alignment horizontal="right" vertical="top" readingOrder="3"/>
    </xf>
    <xf numFmtId="177" fontId="108" fillId="0" borderId="11" xfId="2784" applyNumberFormat="1" applyBorder="1" applyAlignment="1" applyProtection="1">
      <alignment horizontal="left" vertical="top" readingOrder="3"/>
    </xf>
    <xf numFmtId="177" fontId="108" fillId="0" borderId="11" xfId="2784" applyNumberFormat="1" applyBorder="1" applyAlignment="1" applyProtection="1">
      <alignment horizontal="right" vertical="top" readingOrder="3"/>
    </xf>
    <xf numFmtId="177" fontId="109" fillId="0" borderId="11" xfId="2784" applyNumberFormat="1" applyFont="1" applyBorder="1" applyAlignment="1" applyProtection="1">
      <alignment horizontal="left" vertical="top" readingOrder="3"/>
    </xf>
    <xf numFmtId="177" fontId="110" fillId="0" borderId="11" xfId="2784" applyNumberFormat="1" applyFont="1" applyBorder="1" applyAlignment="1" applyProtection="1">
      <alignment horizontal="left" vertical="top" readingOrder="3"/>
    </xf>
    <xf numFmtId="177" fontId="111" fillId="0" borderId="11" xfId="2784" applyNumberFormat="1" applyFont="1" applyBorder="1" applyAlignment="1" applyProtection="1">
      <alignment horizontal="left" vertical="top" readingOrder="3"/>
    </xf>
    <xf numFmtId="177" fontId="112" fillId="0" borderId="33" xfId="2784" applyNumberFormat="1" applyFont="1" applyBorder="1" applyAlignment="1" applyProtection="1">
      <alignment horizontal="center" vertical="top" readingOrder="3"/>
    </xf>
    <xf numFmtId="2" fontId="108" fillId="0" borderId="35" xfId="2784" applyNumberFormat="1" applyBorder="1" applyAlignment="1" applyProtection="1">
      <alignment horizontal="right" vertical="top" readingOrder="3"/>
    </xf>
    <xf numFmtId="2" fontId="113" fillId="0" borderId="35" xfId="2784" applyNumberFormat="1" applyFont="1" applyBorder="1" applyAlignment="1" applyProtection="1">
      <alignment horizontal="right" vertical="top" readingOrder="3"/>
    </xf>
    <xf numFmtId="2" fontId="114" fillId="0" borderId="36" xfId="2784" applyNumberFormat="1" applyFont="1" applyBorder="1" applyAlignment="1" applyProtection="1">
      <alignment horizontal="right" vertical="top" readingOrder="3"/>
    </xf>
    <xf numFmtId="177" fontId="114" fillId="0" borderId="36" xfId="2784" applyNumberFormat="1" applyFont="1" applyBorder="1" applyAlignment="1" applyProtection="1">
      <alignment horizontal="left" vertical="top" readingOrder="3"/>
    </xf>
    <xf numFmtId="177" fontId="115" fillId="0" borderId="36" xfId="2784" applyNumberFormat="1" applyFont="1" applyBorder="1" applyAlignment="1" applyProtection="1">
      <alignment horizontal="left" vertical="top" readingOrder="3"/>
    </xf>
    <xf numFmtId="4" fontId="65" fillId="0" borderId="34" xfId="2784" applyNumberFormat="1" applyFont="1" applyBorder="1" applyAlignment="1" applyProtection="1">
      <alignment horizontal="left" vertical="top" readingOrder="3"/>
    </xf>
    <xf numFmtId="4" fontId="10" fillId="0" borderId="0" xfId="0" applyNumberFormat="1" applyFont="1"/>
    <xf numFmtId="0" fontId="10" fillId="0" borderId="0" xfId="0" applyFont="1"/>
    <xf numFmtId="4" fontId="130" fillId="0" borderId="0" xfId="0" applyNumberFormat="1" applyFont="1"/>
    <xf numFmtId="4" fontId="4" fillId="2" borderId="7" xfId="0" applyNumberFormat="1" applyFont="1" applyFill="1" applyBorder="1"/>
    <xf numFmtId="4" fontId="0" fillId="62" borderId="0" xfId="0" applyNumberFormat="1" applyFill="1"/>
    <xf numFmtId="4" fontId="121" fillId="62" borderId="0" xfId="1" applyNumberFormat="1" applyFont="1" applyFill="1"/>
    <xf numFmtId="4" fontId="121" fillId="62" borderId="0" xfId="1" applyNumberFormat="1" applyFont="1" applyFill="1" applyAlignment="1">
      <alignment horizontal="left" vertical="top"/>
    </xf>
    <xf numFmtId="4" fontId="121" fillId="5" borderId="10" xfId="1" applyNumberFormat="1" applyFont="1" applyFill="1" applyBorder="1"/>
    <xf numFmtId="184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4" fontId="131" fillId="0" borderId="0" xfId="0" applyNumberFormat="1" applyFont="1"/>
    <xf numFmtId="0" fontId="132" fillId="0" borderId="0" xfId="0" applyFont="1"/>
    <xf numFmtId="4" fontId="132" fillId="0" borderId="0" xfId="0" applyNumberFormat="1" applyFont="1"/>
    <xf numFmtId="0" fontId="132" fillId="2" borderId="0" xfId="0" applyFont="1" applyFill="1"/>
    <xf numFmtId="4" fontId="132" fillId="2" borderId="0" xfId="0" applyNumberFormat="1" applyFont="1" applyFill="1"/>
    <xf numFmtId="2" fontId="108" fillId="0" borderId="34" xfId="2784" applyNumberFormat="1" applyBorder="1" applyAlignment="1" applyProtection="1">
      <alignment horizontal="right" vertical="top" readingOrder="3"/>
    </xf>
    <xf numFmtId="2" fontId="113" fillId="0" borderId="34" xfId="2784" applyNumberFormat="1" applyFont="1" applyBorder="1" applyAlignment="1" applyProtection="1">
      <alignment horizontal="right" vertical="top" readingOrder="3"/>
    </xf>
    <xf numFmtId="4" fontId="121" fillId="0" borderId="0" xfId="1" applyNumberFormat="1" applyFont="1" applyAlignment="1">
      <alignment horizontal="center"/>
    </xf>
    <xf numFmtId="0" fontId="27" fillId="5" borderId="0" xfId="0" applyFont="1" applyFill="1" applyAlignment="1">
      <alignment horizontal="left"/>
    </xf>
    <xf numFmtId="4" fontId="121" fillId="5" borderId="0" xfId="1" applyNumberFormat="1" applyFont="1" applyFill="1" applyAlignment="1">
      <alignment horizontal="center"/>
    </xf>
    <xf numFmtId="0" fontId="116" fillId="0" borderId="41" xfId="1024" applyFont="1" applyBorder="1" applyAlignment="1" applyProtection="1">
      <alignment horizontal="center" vertical="center" wrapText="1"/>
      <protection hidden="1"/>
    </xf>
    <xf numFmtId="0" fontId="116" fillId="0" borderId="42" xfId="1024" applyFont="1" applyBorder="1" applyAlignment="1" applyProtection="1">
      <alignment horizontal="center" vertical="center" wrapText="1"/>
      <protection hidden="1"/>
    </xf>
    <xf numFmtId="0" fontId="116" fillId="0" borderId="0" xfId="1024" applyFont="1" applyProtection="1">
      <protection hidden="1"/>
    </xf>
    <xf numFmtId="0" fontId="116" fillId="63" borderId="0" xfId="1024" applyFont="1" applyFill="1" applyProtection="1">
      <protection locked="0"/>
    </xf>
    <xf numFmtId="2" fontId="108" fillId="0" borderId="0" xfId="2784" applyNumberFormat="1" applyBorder="1" applyAlignment="1" applyProtection="1">
      <alignment horizontal="right" vertical="top" readingOrder="3"/>
    </xf>
    <xf numFmtId="0" fontId="108" fillId="0" borderId="0" xfId="2784" applyAlignment="1" applyProtection="1">
      <alignment vertical="top" readingOrder="3"/>
    </xf>
    <xf numFmtId="177" fontId="108" fillId="0" borderId="0" xfId="2784" applyNumberFormat="1" applyBorder="1" applyAlignment="1" applyProtection="1">
      <alignment horizontal="right" vertical="top" readingOrder="3"/>
    </xf>
    <xf numFmtId="177" fontId="108" fillId="0" borderId="40" xfId="2784" applyNumberFormat="1" applyBorder="1" applyAlignment="1" applyProtection="1">
      <alignment horizontal="right" vertical="top" readingOrder="3"/>
    </xf>
    <xf numFmtId="177" fontId="108" fillId="0" borderId="40" xfId="2784" applyNumberFormat="1" applyBorder="1" applyAlignment="1" applyProtection="1">
      <alignment horizontal="left" vertical="top" readingOrder="3"/>
    </xf>
    <xf numFmtId="177" fontId="112" fillId="0" borderId="35" xfId="2784" applyNumberFormat="1" applyFont="1" applyBorder="1" applyAlignment="1" applyProtection="1">
      <alignment horizontal="right" vertical="top" readingOrder="3"/>
    </xf>
    <xf numFmtId="177" fontId="108" fillId="0" borderId="35" xfId="2784" applyNumberFormat="1" applyBorder="1" applyAlignment="1" applyProtection="1">
      <alignment horizontal="left" vertical="top" readingOrder="3"/>
    </xf>
    <xf numFmtId="2" fontId="112" fillId="0" borderId="35" xfId="2784" applyNumberFormat="1" applyFont="1" applyBorder="1" applyAlignment="1" applyProtection="1">
      <alignment horizontal="right" vertical="top" readingOrder="3"/>
    </xf>
    <xf numFmtId="3" fontId="15" fillId="0" borderId="0" xfId="0" applyNumberFormat="1" applyFont="1" applyAlignment="1">
      <alignment horizontal="center" vertical="center" wrapText="1"/>
    </xf>
    <xf numFmtId="3" fontId="15" fillId="0" borderId="11" xfId="0" applyNumberFormat="1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14" fontId="15" fillId="0" borderId="13" xfId="0" applyNumberFormat="1" applyFont="1" applyBorder="1" applyAlignment="1">
      <alignment horizontal="center" vertical="center" wrapText="1"/>
    </xf>
    <xf numFmtId="10" fontId="15" fillId="0" borderId="1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2" xfId="0" applyFont="1" applyBorder="1" applyAlignment="1">
      <alignment vertical="center" wrapText="1"/>
    </xf>
  </cellXfs>
  <cellStyles count="2786">
    <cellStyle name="20 % – Zvýraznění 1" xfId="21" builtinId="30" customBuiltin="1"/>
    <cellStyle name="20 % – Zvýraznění 1 10" xfId="2572" xr:uid="{77E76252-61EC-4C80-B7FF-D17575F53D90}"/>
    <cellStyle name="20 % – Zvýraznění 1 11" xfId="2586" xr:uid="{AE6F8A45-9697-42F4-A187-9891B72F340B}"/>
    <cellStyle name="20 % – Zvýraznění 1 12" xfId="2600" xr:uid="{CE71F1F0-38C2-4B25-B69F-F12E90408A38}"/>
    <cellStyle name="20 % – Zvýraznění 1 13" xfId="2614" xr:uid="{272AE192-7EA1-46DB-9AB7-E2914D74C69A}"/>
    <cellStyle name="20 % – Zvýraznění 1 14" xfId="2628" xr:uid="{A79487EC-34DC-4498-88EB-5F5DDB1FE568}"/>
    <cellStyle name="20 % – Zvýraznění 1 15" xfId="2642" xr:uid="{4753FF81-028E-4189-8135-7C11C90CAC31}"/>
    <cellStyle name="20 % – Zvýraznění 1 16" xfId="2656" xr:uid="{45C75CC0-943D-43D1-A3F2-67EB604E7F23}"/>
    <cellStyle name="20 % – Zvýraznění 1 17" xfId="2670" xr:uid="{E7E9CF62-20A6-449D-8397-797EDF0BBDA7}"/>
    <cellStyle name="20 % – Zvýraznění 1 18" xfId="2684" xr:uid="{5BB8FDA6-DCB1-47B4-8393-7DF67AB86F2A}"/>
    <cellStyle name="20 % – Zvýraznění 1 19" xfId="2698" xr:uid="{C8C5ACE7-9E5A-4A7F-B7DF-B28AD3B1D28F}"/>
    <cellStyle name="20 % – Zvýraznění 1 2" xfId="2460" xr:uid="{B1F12752-0731-4BF0-B7CC-92541C90725C}"/>
    <cellStyle name="20 % – Zvýraznění 1 20" xfId="2712" xr:uid="{850D4EC5-FCFF-4C5E-ACC4-6D6094AB89DD}"/>
    <cellStyle name="20 % – Zvýraznění 1 21" xfId="2726" xr:uid="{93653909-F7E1-445E-B28F-1CE71C33636D}"/>
    <cellStyle name="20 % – Zvýraznění 1 22" xfId="2743" xr:uid="{96B6F18A-B32F-420E-B0AF-7BE04D5628B8}"/>
    <cellStyle name="20 % – Zvýraznění 1 3" xfId="2474" xr:uid="{FC72B68B-E180-4AC6-A182-A50E71833E40}"/>
    <cellStyle name="20 % – Zvýraznění 1 4" xfId="2488" xr:uid="{C9E14277-7E1F-4058-8163-9EF1F8D3EB12}"/>
    <cellStyle name="20 % – Zvýraznění 1 5" xfId="2502" xr:uid="{C3E3C795-91B9-40AC-AA13-27F2385D39DB}"/>
    <cellStyle name="20 % – Zvýraznění 1 6" xfId="2516" xr:uid="{EE47D4EB-8519-46A3-BFAA-DAD417F7D903}"/>
    <cellStyle name="20 % – Zvýraznění 1 7" xfId="2530" xr:uid="{5E5E4B17-3AD9-4104-9111-CF6640D63528}"/>
    <cellStyle name="20 % – Zvýraznění 1 8" xfId="2544" xr:uid="{5867380E-0906-47D5-80F7-897687FBE9D5}"/>
    <cellStyle name="20 % – Zvýraznění 1 9" xfId="2558" xr:uid="{5FC0B142-B074-4AD5-BD87-1EF0F2EDBDCB}"/>
    <cellStyle name="20 % – Zvýraznění 2" xfId="24" builtinId="34" customBuiltin="1"/>
    <cellStyle name="20 % – Zvýraznění 2 10" xfId="2574" xr:uid="{57FE7286-B2AE-4925-A2F3-A690D7BCE313}"/>
    <cellStyle name="20 % – Zvýraznění 2 11" xfId="2588" xr:uid="{1E126BCC-3190-47F7-8BB0-3857A8442FAF}"/>
    <cellStyle name="20 % – Zvýraznění 2 12" xfId="2602" xr:uid="{7EABCD42-20A5-4C3C-A70E-62AE7A3B0DE5}"/>
    <cellStyle name="20 % – Zvýraznění 2 13" xfId="2616" xr:uid="{9EFF8875-CFF2-4B4C-9931-3C369E602267}"/>
    <cellStyle name="20 % – Zvýraznění 2 14" xfId="2630" xr:uid="{3F7AD453-7157-43B3-9D29-6EABC6F6C6EF}"/>
    <cellStyle name="20 % – Zvýraznění 2 15" xfId="2644" xr:uid="{7357458D-2547-429A-B758-532749557A9D}"/>
    <cellStyle name="20 % – Zvýraznění 2 16" xfId="2658" xr:uid="{52A792F5-C6C5-4EBB-B270-45ED014383AA}"/>
    <cellStyle name="20 % – Zvýraznění 2 17" xfId="2672" xr:uid="{3BBCF251-AF07-49FB-979A-BF802A92EB5F}"/>
    <cellStyle name="20 % – Zvýraznění 2 18" xfId="2686" xr:uid="{9C519080-7BBD-4046-8CEC-D9CEA3DC8B5A}"/>
    <cellStyle name="20 % – Zvýraznění 2 19" xfId="2700" xr:uid="{E70F515F-6EB4-4EC5-A528-F47EE3FA2106}"/>
    <cellStyle name="20 % – Zvýraznění 2 2" xfId="2462" xr:uid="{C1B2EAF9-25DA-4E50-98E6-841273426821}"/>
    <cellStyle name="20 % – Zvýraznění 2 20" xfId="2714" xr:uid="{EFE893E8-2D4C-41F9-A057-91AE8A7A3FC3}"/>
    <cellStyle name="20 % – Zvýraznění 2 21" xfId="2728" xr:uid="{5BE2139B-668F-4172-A357-FB732190445A}"/>
    <cellStyle name="20 % – Zvýraznění 2 22" xfId="2745" xr:uid="{50BD991E-7EF9-4EFB-9CB8-39D1F641147A}"/>
    <cellStyle name="20 % – Zvýraznění 2 3" xfId="2476" xr:uid="{B62DFF0F-956F-4892-870D-2894C5E46474}"/>
    <cellStyle name="20 % – Zvýraznění 2 4" xfId="2490" xr:uid="{7392E907-F95F-450F-8D6D-F330053DCF67}"/>
    <cellStyle name="20 % – Zvýraznění 2 5" xfId="2504" xr:uid="{CD49A742-D137-4822-8755-F8879165F92B}"/>
    <cellStyle name="20 % – Zvýraznění 2 6" xfId="2518" xr:uid="{C11C4B6E-CBD8-458B-B495-08C64266B574}"/>
    <cellStyle name="20 % – Zvýraznění 2 7" xfId="2532" xr:uid="{EA6AC4A3-1D87-4968-8FFF-50460F9A0A13}"/>
    <cellStyle name="20 % – Zvýraznění 2 8" xfId="2546" xr:uid="{181BDCF4-3399-4F23-A555-8686FE0BD051}"/>
    <cellStyle name="20 % – Zvýraznění 2 9" xfId="2560" xr:uid="{DAD380F3-3FBF-40F5-8F06-2A132D40577A}"/>
    <cellStyle name="20 % – Zvýraznění 3" xfId="27" builtinId="38" customBuiltin="1"/>
    <cellStyle name="20 % – Zvýraznění 3 10" xfId="2576" xr:uid="{2F21A465-9F26-4DF6-88E5-D37D99551F5A}"/>
    <cellStyle name="20 % – Zvýraznění 3 11" xfId="2590" xr:uid="{6343D902-766B-4E6B-8F2D-6D44F97F9CDD}"/>
    <cellStyle name="20 % – Zvýraznění 3 12" xfId="2604" xr:uid="{41AF3B22-E74F-4E51-9B74-1168510A025C}"/>
    <cellStyle name="20 % – Zvýraznění 3 13" xfId="2618" xr:uid="{5F33E3B3-0AA6-40B9-890B-79E7ACE1A9D0}"/>
    <cellStyle name="20 % – Zvýraznění 3 14" xfId="2632" xr:uid="{42EAED5C-07C0-416C-9133-50718E1A16B3}"/>
    <cellStyle name="20 % – Zvýraznění 3 15" xfId="2646" xr:uid="{B75A1C42-502F-4D43-98C8-16627051DD7D}"/>
    <cellStyle name="20 % – Zvýraznění 3 16" xfId="2660" xr:uid="{0E460086-86D0-4FFE-9507-BB0B79A8B58D}"/>
    <cellStyle name="20 % – Zvýraznění 3 17" xfId="2674" xr:uid="{401B0664-A5BA-4237-9A1A-7328A323D292}"/>
    <cellStyle name="20 % – Zvýraznění 3 18" xfId="2688" xr:uid="{F27129B0-F14A-4FF0-9A6A-60E9CD1E25F5}"/>
    <cellStyle name="20 % – Zvýraznění 3 19" xfId="2702" xr:uid="{5DEBCCB3-7306-4669-8DAC-805895F7FF28}"/>
    <cellStyle name="20 % – Zvýraznění 3 2" xfId="2464" xr:uid="{493CED9A-600E-4232-A173-6A2F467DCC43}"/>
    <cellStyle name="20 % – Zvýraznění 3 20" xfId="2716" xr:uid="{B36965DC-2BBA-4C47-9CE7-BEC502138FA4}"/>
    <cellStyle name="20 % – Zvýraznění 3 21" xfId="2730" xr:uid="{59B1DFC3-0C83-453F-9F03-5CE48CF51BC4}"/>
    <cellStyle name="20 % – Zvýraznění 3 22" xfId="2747" xr:uid="{54A44FD1-D3FD-4FD6-A1EE-03DFB7E2E2A2}"/>
    <cellStyle name="20 % – Zvýraznění 3 3" xfId="2478" xr:uid="{860E0D88-4D70-47BF-8ED0-DDFD271D8B7E}"/>
    <cellStyle name="20 % – Zvýraznění 3 4" xfId="2492" xr:uid="{4DC0ABEC-8657-418C-AA99-A7EA67AF4935}"/>
    <cellStyle name="20 % – Zvýraznění 3 5" xfId="2506" xr:uid="{C78CC54C-A791-4FD9-8B44-173E144D97BF}"/>
    <cellStyle name="20 % – Zvýraznění 3 6" xfId="2520" xr:uid="{1DDFB5D3-78B2-4791-81F9-E07039F7C0C7}"/>
    <cellStyle name="20 % – Zvýraznění 3 7" xfId="2534" xr:uid="{02D5A99C-3BD6-44F8-BB36-44EF83EDB761}"/>
    <cellStyle name="20 % – Zvýraznění 3 8" xfId="2548" xr:uid="{05C0234B-1F62-4735-B398-6EEF8CC150E7}"/>
    <cellStyle name="20 % – Zvýraznění 3 9" xfId="2562" xr:uid="{A59396DB-7993-4068-9864-DB5422252C45}"/>
    <cellStyle name="20 % – Zvýraznění 4" xfId="30" builtinId="42" customBuiltin="1"/>
    <cellStyle name="20 % – Zvýraznění 4 10" xfId="2578" xr:uid="{57D54373-3F7B-4A88-A459-240FD1BA8989}"/>
    <cellStyle name="20 % – Zvýraznění 4 11" xfId="2592" xr:uid="{0C244136-009F-4AE7-B765-E46977E6F2B9}"/>
    <cellStyle name="20 % – Zvýraznění 4 12" xfId="2606" xr:uid="{3C71728E-A53D-407F-A67A-E6E41B1312B8}"/>
    <cellStyle name="20 % – Zvýraznění 4 13" xfId="2620" xr:uid="{299A1D63-0492-425E-852C-0B7966321999}"/>
    <cellStyle name="20 % – Zvýraznění 4 14" xfId="2634" xr:uid="{0F22F4E4-6681-42BC-A756-8C4A9451BA9E}"/>
    <cellStyle name="20 % – Zvýraznění 4 15" xfId="2648" xr:uid="{BE8014CA-0FD1-4941-9B07-3EC468B42725}"/>
    <cellStyle name="20 % – Zvýraznění 4 16" xfId="2662" xr:uid="{94943861-82D2-4C6E-9E8C-FA79E8DBBB0E}"/>
    <cellStyle name="20 % – Zvýraznění 4 17" xfId="2676" xr:uid="{1982F8D0-1742-492C-8905-E5184600ECD5}"/>
    <cellStyle name="20 % – Zvýraznění 4 18" xfId="2690" xr:uid="{7A041CD0-9217-4DF7-AD12-B8C4E52D7A83}"/>
    <cellStyle name="20 % – Zvýraznění 4 19" xfId="2704" xr:uid="{D790D4A7-F7D6-489E-AD73-B668A1DC0273}"/>
    <cellStyle name="20 % – Zvýraznění 4 2" xfId="2466" xr:uid="{9348EB7D-00F5-4AF1-BDC5-811DD0459B3D}"/>
    <cellStyle name="20 % – Zvýraznění 4 20" xfId="2718" xr:uid="{F87795FC-E608-49E4-9985-7F6EFE60E937}"/>
    <cellStyle name="20 % – Zvýraznění 4 21" xfId="2732" xr:uid="{836EF7B5-1B61-4412-B5C9-647D3B8093EF}"/>
    <cellStyle name="20 % – Zvýraznění 4 22" xfId="2749" xr:uid="{44BDAFD6-B70D-4B8C-943B-EC16581FB8EB}"/>
    <cellStyle name="20 % – Zvýraznění 4 3" xfId="2480" xr:uid="{AA41FBE9-4DD5-4860-A137-AA16855F46B7}"/>
    <cellStyle name="20 % – Zvýraznění 4 4" xfId="2494" xr:uid="{80B6CDFF-691E-42F7-B72A-E915BBE0C6CD}"/>
    <cellStyle name="20 % – Zvýraznění 4 5" xfId="2508" xr:uid="{F3E46B93-2346-4224-BE8F-810A8515BB61}"/>
    <cellStyle name="20 % – Zvýraznění 4 6" xfId="2522" xr:uid="{7F097A60-4C55-4924-AD3E-FD9BF253E86B}"/>
    <cellStyle name="20 % – Zvýraznění 4 7" xfId="2536" xr:uid="{D1C16D15-BCE5-4E20-AC7B-D782550CDE98}"/>
    <cellStyle name="20 % – Zvýraznění 4 8" xfId="2550" xr:uid="{6E9DEF3F-2BC2-449F-8F68-37A52E3B0060}"/>
    <cellStyle name="20 % – Zvýraznění 4 9" xfId="2564" xr:uid="{812F5E02-155D-43A5-AD62-6D4985FA6E0E}"/>
    <cellStyle name="20 % – Zvýraznění 5" xfId="33" builtinId="46" customBuiltin="1"/>
    <cellStyle name="20 % – Zvýraznění 5 10" xfId="2580" xr:uid="{3E36A3CE-09DF-4964-BD94-0791439B68CC}"/>
    <cellStyle name="20 % – Zvýraznění 5 11" xfId="2594" xr:uid="{394EDBC7-A8B0-4105-AFB3-BC84D519DAD1}"/>
    <cellStyle name="20 % – Zvýraznění 5 12" xfId="2608" xr:uid="{905C6B24-9574-4844-82CC-4F30B21A8D23}"/>
    <cellStyle name="20 % – Zvýraznění 5 13" xfId="2622" xr:uid="{B96275C7-5202-4F4C-B693-F1DDDFDA9C29}"/>
    <cellStyle name="20 % – Zvýraznění 5 14" xfId="2636" xr:uid="{AD398A8B-0223-4CCF-8D67-364499BD1B8C}"/>
    <cellStyle name="20 % – Zvýraznění 5 15" xfId="2650" xr:uid="{A9BCE56A-B897-49A0-BC9B-C65E4171D054}"/>
    <cellStyle name="20 % – Zvýraznění 5 16" xfId="2664" xr:uid="{56DFE8E8-6B03-4ADF-ACE1-5CBFD96F6F3F}"/>
    <cellStyle name="20 % – Zvýraznění 5 17" xfId="2678" xr:uid="{FB44FF35-8874-448B-85BC-3E4760353139}"/>
    <cellStyle name="20 % – Zvýraznění 5 18" xfId="2692" xr:uid="{713A6D90-47BB-400D-A419-CE71482237B2}"/>
    <cellStyle name="20 % – Zvýraznění 5 19" xfId="2706" xr:uid="{282B5F8E-2A1A-4853-B8EA-65824F4A9194}"/>
    <cellStyle name="20 % – Zvýraznění 5 2" xfId="2468" xr:uid="{36397EFA-251C-42B8-BB99-1854467EB3B8}"/>
    <cellStyle name="20 % – Zvýraznění 5 20" xfId="2720" xr:uid="{276FC7D1-97FF-4F90-ADF0-4BBC0453E606}"/>
    <cellStyle name="20 % – Zvýraznění 5 21" xfId="2734" xr:uid="{EC8597EB-3273-4BA3-AC04-091931C88073}"/>
    <cellStyle name="20 % – Zvýraznění 5 22" xfId="2751" xr:uid="{EAA8FA94-3807-40AF-B999-13B2146BB226}"/>
    <cellStyle name="20 % – Zvýraznění 5 3" xfId="2482" xr:uid="{8ABBA2B6-46C0-42B4-9CAA-57C2418649C6}"/>
    <cellStyle name="20 % – Zvýraznění 5 4" xfId="2496" xr:uid="{9B8DC582-8676-49F2-AEE4-A1391936677B}"/>
    <cellStyle name="20 % – Zvýraznění 5 5" xfId="2510" xr:uid="{4BFE4114-4E19-4661-92B4-6F51EBBDD5AA}"/>
    <cellStyle name="20 % – Zvýraznění 5 6" xfId="2524" xr:uid="{73F4BCDA-848C-458A-B4BE-C24BB24C289A}"/>
    <cellStyle name="20 % – Zvýraznění 5 7" xfId="2538" xr:uid="{06A20470-0BEC-4F0E-B94F-9EB35D2D8BCD}"/>
    <cellStyle name="20 % – Zvýraznění 5 8" xfId="2552" xr:uid="{D38C80C7-5F52-4537-BA48-B64D51E0CDCE}"/>
    <cellStyle name="20 % – Zvýraznění 5 9" xfId="2566" xr:uid="{C44F91D0-3415-4EDE-B7DC-6C28032DA760}"/>
    <cellStyle name="20 % – Zvýraznění 6" xfId="36" builtinId="50" customBuiltin="1"/>
    <cellStyle name="20 % – Zvýraznění 6 10" xfId="2582" xr:uid="{6E6899C4-E7AA-47B4-A463-492ECC34EC34}"/>
    <cellStyle name="20 % – Zvýraznění 6 11" xfId="2596" xr:uid="{560C8D8B-1F42-4725-9A04-C714ACA657E5}"/>
    <cellStyle name="20 % – Zvýraznění 6 12" xfId="2610" xr:uid="{5B14512C-E106-483F-AD38-180F09388E3E}"/>
    <cellStyle name="20 % – Zvýraznění 6 13" xfId="2624" xr:uid="{DC56095E-FED4-40B6-89E2-EDDA1357294D}"/>
    <cellStyle name="20 % – Zvýraznění 6 14" xfId="2638" xr:uid="{A6927CF8-5392-4393-92F1-7BAC197C0984}"/>
    <cellStyle name="20 % – Zvýraznění 6 15" xfId="2652" xr:uid="{5AA499C0-22F8-4D9B-BF07-B2B4E987730B}"/>
    <cellStyle name="20 % – Zvýraznění 6 16" xfId="2666" xr:uid="{605D7928-4026-4035-82F6-2A1B5D564365}"/>
    <cellStyle name="20 % – Zvýraznění 6 17" xfId="2680" xr:uid="{8C679BB1-3157-4441-94F2-83896588CE08}"/>
    <cellStyle name="20 % – Zvýraznění 6 18" xfId="2694" xr:uid="{757EDE8F-EFD6-44FF-8AA5-4F9A8B8205CC}"/>
    <cellStyle name="20 % – Zvýraznění 6 19" xfId="2708" xr:uid="{90DD51A6-4808-4BF4-9414-DEB86DA4CB19}"/>
    <cellStyle name="20 % – Zvýraznění 6 2" xfId="2470" xr:uid="{CDCA19D7-4E0D-43A2-AA78-0EA0826C110E}"/>
    <cellStyle name="20 % – Zvýraznění 6 20" xfId="2722" xr:uid="{113C31C9-2511-4271-822C-33226F7F039F}"/>
    <cellStyle name="20 % – Zvýraznění 6 21" xfId="2736" xr:uid="{FDC0FE0D-BE08-4551-A3F4-8FF2F67EDEB5}"/>
    <cellStyle name="20 % – Zvýraznění 6 22" xfId="2753" xr:uid="{C53EFAA9-66F6-4CF6-AB4B-EF2F649F42FE}"/>
    <cellStyle name="20 % – Zvýraznění 6 3" xfId="2484" xr:uid="{BC9027D4-1CAF-4ECE-9B4B-004640ADDAD5}"/>
    <cellStyle name="20 % – Zvýraznění 6 4" xfId="2498" xr:uid="{B067AD2F-F16A-4AF2-9E2E-C62A59CE0770}"/>
    <cellStyle name="20 % – Zvýraznění 6 5" xfId="2512" xr:uid="{50C77131-26CB-42D7-BE18-29E559EBB8D8}"/>
    <cellStyle name="20 % – Zvýraznění 6 6" xfId="2526" xr:uid="{4B2B1BBF-28B3-4407-AB0E-A0F3E0B7E8CD}"/>
    <cellStyle name="20 % – Zvýraznění 6 7" xfId="2540" xr:uid="{7F25FDFF-B093-4B93-BECB-4AD80E9626FF}"/>
    <cellStyle name="20 % – Zvýraznění 6 8" xfId="2554" xr:uid="{A843195B-61FF-440E-8E54-64833194F456}"/>
    <cellStyle name="20 % – Zvýraznění 6 9" xfId="2568" xr:uid="{0C98FFD4-EA7A-4D7B-9300-558D3C601849}"/>
    <cellStyle name="20% - Accent1" xfId="49" xr:uid="{2DDA072C-B8D6-4DA1-A093-893381A1E534}"/>
    <cellStyle name="20% - Accent1 2" xfId="50" xr:uid="{661E4F69-8B38-40B6-8002-94E0E9EC35C3}"/>
    <cellStyle name="20% - Accent2" xfId="51" xr:uid="{7DB478E7-9CD8-418E-A8C0-83DFEB1F2279}"/>
    <cellStyle name="20% - Accent2 2" xfId="52" xr:uid="{9C17809C-83C5-4C8E-9927-3CEFEEDDE02B}"/>
    <cellStyle name="20% - Accent3" xfId="53" xr:uid="{1AA9DF05-3484-4DE4-8DF4-13B4A9C0E71D}"/>
    <cellStyle name="20% - Accent3 2" xfId="54" xr:uid="{6389AD1A-E00A-4B6B-9CF6-2C05C1A2F0CA}"/>
    <cellStyle name="20% - Accent4" xfId="55" xr:uid="{710025FC-9D60-4AD6-AE63-6004D308B1B5}"/>
    <cellStyle name="20% - Accent4 2" xfId="56" xr:uid="{8ECE29C3-BA12-4861-B2B5-110F9E0D2E01}"/>
    <cellStyle name="20% - Accent5" xfId="57" xr:uid="{AF11C5B5-960A-4657-8315-B40A85FEEF80}"/>
    <cellStyle name="20% - Accent5 2" xfId="58" xr:uid="{884981FC-1767-40BD-A352-C5972536FC41}"/>
    <cellStyle name="20% - Accent6" xfId="59" xr:uid="{43CC861E-A9BE-47E0-B273-DFE763199FD2}"/>
    <cellStyle name="20% - Accent6 2" xfId="60" xr:uid="{3456D186-1A13-41EA-809B-04910144CAEC}"/>
    <cellStyle name="40 % – Zvýraznění 1" xfId="22" builtinId="31" customBuiltin="1"/>
    <cellStyle name="40 % – Zvýraznění 1 10" xfId="2573" xr:uid="{5033D91D-2C13-4209-ADF8-2A0F364F0CA9}"/>
    <cellStyle name="40 % – Zvýraznění 1 11" xfId="2587" xr:uid="{C332FCAC-5701-4154-8135-8D4B50D89D14}"/>
    <cellStyle name="40 % – Zvýraznění 1 12" xfId="2601" xr:uid="{AA58752C-02D1-467E-B00B-52F519E9E8E4}"/>
    <cellStyle name="40 % – Zvýraznění 1 13" xfId="2615" xr:uid="{9F227ADB-C7A0-4B7E-B9E6-A7994C7233A6}"/>
    <cellStyle name="40 % – Zvýraznění 1 14" xfId="2629" xr:uid="{51D7F60B-A62E-49C6-9B78-887A4C3E8136}"/>
    <cellStyle name="40 % – Zvýraznění 1 15" xfId="2643" xr:uid="{9633A1F4-A96C-432E-9F13-410F57468BE6}"/>
    <cellStyle name="40 % – Zvýraznění 1 16" xfId="2657" xr:uid="{D81D6F91-96E1-4F5E-8319-FC8B4364B2FC}"/>
    <cellStyle name="40 % – Zvýraznění 1 17" xfId="2671" xr:uid="{F59770DB-965C-4EF8-BAC4-A4A434F54E2A}"/>
    <cellStyle name="40 % – Zvýraznění 1 18" xfId="2685" xr:uid="{2833189A-699C-4254-9337-8EDF228D50E6}"/>
    <cellStyle name="40 % – Zvýraznění 1 19" xfId="2699" xr:uid="{6CE8F28D-2EF1-4289-AFC6-9ADA2A938204}"/>
    <cellStyle name="40 % – Zvýraznění 1 2" xfId="2461" xr:uid="{ECED1C96-B3A2-4772-AC74-9043CB68AD77}"/>
    <cellStyle name="40 % – Zvýraznění 1 20" xfId="2713" xr:uid="{58320970-41BA-42EF-8EF3-F342A84DB051}"/>
    <cellStyle name="40 % – Zvýraznění 1 21" xfId="2727" xr:uid="{33074A11-A457-43E5-997B-E840EC724E07}"/>
    <cellStyle name="40 % – Zvýraznění 1 22" xfId="2744" xr:uid="{ADFB172A-E8F9-422C-95F2-5907C01BA3FF}"/>
    <cellStyle name="40 % – Zvýraznění 1 3" xfId="2475" xr:uid="{CC30DF16-6C7E-476F-841A-7E88B5BF4448}"/>
    <cellStyle name="40 % – Zvýraznění 1 4" xfId="2489" xr:uid="{DA8F47EE-9C22-4CFA-9481-B292C8BAABA1}"/>
    <cellStyle name="40 % – Zvýraznění 1 5" xfId="2503" xr:uid="{19736E4F-2FDC-4AB7-BE35-70B01425BA28}"/>
    <cellStyle name="40 % – Zvýraznění 1 6" xfId="2517" xr:uid="{5C9FAA27-AB19-4F60-A7E7-7AB69D48F5EE}"/>
    <cellStyle name="40 % – Zvýraznění 1 7" xfId="2531" xr:uid="{50BB7EE3-91C9-40C3-92D3-40F35F9CDC28}"/>
    <cellStyle name="40 % – Zvýraznění 1 8" xfId="2545" xr:uid="{D5045DAE-A042-4148-842B-D3BB4E47ABC2}"/>
    <cellStyle name="40 % – Zvýraznění 1 9" xfId="2559" xr:uid="{35196E62-DB3F-4C06-A29B-3E786EA06D99}"/>
    <cellStyle name="40 % – Zvýraznění 2" xfId="25" builtinId="35" customBuiltin="1"/>
    <cellStyle name="40 % – Zvýraznění 2 10" xfId="2575" xr:uid="{B68D54B5-85A0-408F-BBD0-852843FB5D39}"/>
    <cellStyle name="40 % – Zvýraznění 2 11" xfId="2589" xr:uid="{70C2736A-1038-49B8-9928-506AF595C1B7}"/>
    <cellStyle name="40 % – Zvýraznění 2 12" xfId="2603" xr:uid="{990C8FA8-6A0E-497A-9A8C-F8ADDF996956}"/>
    <cellStyle name="40 % – Zvýraznění 2 13" xfId="2617" xr:uid="{FD1FC0A3-5217-4C67-BBB7-4A5CA3619B6A}"/>
    <cellStyle name="40 % – Zvýraznění 2 14" xfId="2631" xr:uid="{E138EABA-2B24-486C-8215-70B985D60CA9}"/>
    <cellStyle name="40 % – Zvýraznění 2 15" xfId="2645" xr:uid="{EF807D97-9D6C-47F5-8CCF-B2A41C03ED2B}"/>
    <cellStyle name="40 % – Zvýraznění 2 16" xfId="2659" xr:uid="{0C056417-3D7C-4AC4-87F9-DC0DAB9F8C0E}"/>
    <cellStyle name="40 % – Zvýraznění 2 17" xfId="2673" xr:uid="{B55B1EDC-D966-4C70-AF46-C0CAE22E22BE}"/>
    <cellStyle name="40 % – Zvýraznění 2 18" xfId="2687" xr:uid="{D456C227-2BAA-4AD0-B260-B328266D9127}"/>
    <cellStyle name="40 % – Zvýraznění 2 19" xfId="2701" xr:uid="{44DCDA85-17DE-41EE-B95E-32DB28F3483C}"/>
    <cellStyle name="40 % – Zvýraznění 2 2" xfId="2463" xr:uid="{4B3F26D9-8FA9-406A-B17B-5E707663859A}"/>
    <cellStyle name="40 % – Zvýraznění 2 20" xfId="2715" xr:uid="{CCB388BA-1428-4C2F-8A6F-5C8340CF87EB}"/>
    <cellStyle name="40 % – Zvýraznění 2 21" xfId="2729" xr:uid="{B9E9CF65-C883-4C30-A729-77AB8F910A6E}"/>
    <cellStyle name="40 % – Zvýraznění 2 22" xfId="2746" xr:uid="{63685CBD-650C-4E0A-82B6-40A1DBEE87B5}"/>
    <cellStyle name="40 % – Zvýraznění 2 3" xfId="2477" xr:uid="{307742BE-B5DC-4BFF-A80E-E2202D2A9BB8}"/>
    <cellStyle name="40 % – Zvýraznění 2 4" xfId="2491" xr:uid="{FBB81027-FC1F-469E-A0DC-7A0EB06A6667}"/>
    <cellStyle name="40 % – Zvýraznění 2 5" xfId="2505" xr:uid="{566813AF-F5B2-4F2E-AFD8-A23FBA80FA4A}"/>
    <cellStyle name="40 % – Zvýraznění 2 6" xfId="2519" xr:uid="{FE407BFB-95CC-49DF-A053-9E6FB3772050}"/>
    <cellStyle name="40 % – Zvýraznění 2 7" xfId="2533" xr:uid="{926C9C46-56A3-4D70-9C4D-4B4EF6C32B99}"/>
    <cellStyle name="40 % – Zvýraznění 2 8" xfId="2547" xr:uid="{1170CD56-5334-4DBE-9140-D02C1B0EEF72}"/>
    <cellStyle name="40 % – Zvýraznění 2 9" xfId="2561" xr:uid="{B76DCC86-ACA1-4323-A067-76F334A67BBD}"/>
    <cellStyle name="40 % – Zvýraznění 3" xfId="28" builtinId="39" customBuiltin="1"/>
    <cellStyle name="40 % – Zvýraznění 3 10" xfId="2577" xr:uid="{72BA822F-6922-4784-86F4-04434182E058}"/>
    <cellStyle name="40 % – Zvýraznění 3 11" xfId="2591" xr:uid="{76B1D88A-761A-448A-9B49-2DF6E16C281D}"/>
    <cellStyle name="40 % – Zvýraznění 3 12" xfId="2605" xr:uid="{F2F9F90B-48B6-481F-B03B-59A58A0120CD}"/>
    <cellStyle name="40 % – Zvýraznění 3 13" xfId="2619" xr:uid="{50E4D3E2-75D7-4527-AD7D-53066F0D32F8}"/>
    <cellStyle name="40 % – Zvýraznění 3 14" xfId="2633" xr:uid="{42B96E44-A5E1-40C2-BAA2-5632240F9511}"/>
    <cellStyle name="40 % – Zvýraznění 3 15" xfId="2647" xr:uid="{159835C2-2136-456B-B07E-C48819CD311C}"/>
    <cellStyle name="40 % – Zvýraznění 3 16" xfId="2661" xr:uid="{BB190C2F-8C86-48D1-B4A0-01C6BB838D4A}"/>
    <cellStyle name="40 % – Zvýraznění 3 17" xfId="2675" xr:uid="{8A96F366-2F06-4BA6-8D08-55EF1FC519C8}"/>
    <cellStyle name="40 % – Zvýraznění 3 18" xfId="2689" xr:uid="{7C3D878D-B82C-4E5C-88F1-0B2DB5A12A4C}"/>
    <cellStyle name="40 % – Zvýraznění 3 19" xfId="2703" xr:uid="{210783DE-B604-4E08-834C-EDED550EE3E0}"/>
    <cellStyle name="40 % – Zvýraznění 3 2" xfId="2465" xr:uid="{53F4F775-67BC-4EE8-9C62-CC0F40F30A8F}"/>
    <cellStyle name="40 % – Zvýraznění 3 20" xfId="2717" xr:uid="{006536BC-E5E6-4259-9A7F-4824C8933A1F}"/>
    <cellStyle name="40 % – Zvýraznění 3 21" xfId="2731" xr:uid="{5B4656C6-A3A4-49DC-BCBC-1456B8EEA507}"/>
    <cellStyle name="40 % – Zvýraznění 3 22" xfId="2748" xr:uid="{78F86C45-CC95-462C-9E59-47ACF520A121}"/>
    <cellStyle name="40 % – Zvýraznění 3 3" xfId="2479" xr:uid="{D47D856C-6926-4C79-9DF4-6D104941B977}"/>
    <cellStyle name="40 % – Zvýraznění 3 4" xfId="2493" xr:uid="{466CB64C-9006-4DD3-8F81-523D6E331A6F}"/>
    <cellStyle name="40 % – Zvýraznění 3 5" xfId="2507" xr:uid="{63DED453-AF21-4565-AD4F-0D65246C65E5}"/>
    <cellStyle name="40 % – Zvýraznění 3 6" xfId="2521" xr:uid="{9A220265-6222-496A-BEAE-3B69032832E4}"/>
    <cellStyle name="40 % – Zvýraznění 3 7" xfId="2535" xr:uid="{C58CF4A0-17A7-4C19-88DF-CFEEE011D83C}"/>
    <cellStyle name="40 % – Zvýraznění 3 8" xfId="2549" xr:uid="{1C1B238C-FC62-4E10-BD79-3521322383CD}"/>
    <cellStyle name="40 % – Zvýraznění 3 9" xfId="2563" xr:uid="{8E57335F-2775-44E0-A29C-2B1D86216394}"/>
    <cellStyle name="40 % – Zvýraznění 4" xfId="31" builtinId="43" customBuiltin="1"/>
    <cellStyle name="40 % – Zvýraznění 4 10" xfId="2579" xr:uid="{C359B6A5-B3F6-4547-BE3E-F7A0CC29D6B0}"/>
    <cellStyle name="40 % – Zvýraznění 4 11" xfId="2593" xr:uid="{3DD5F4D3-878A-4EF1-82DA-448B1EF48593}"/>
    <cellStyle name="40 % – Zvýraznění 4 12" xfId="2607" xr:uid="{B25637C7-41F0-48F9-A447-1D82B4A272AF}"/>
    <cellStyle name="40 % – Zvýraznění 4 13" xfId="2621" xr:uid="{A7713573-9960-42A7-90A3-EF41463C5FF9}"/>
    <cellStyle name="40 % – Zvýraznění 4 14" xfId="2635" xr:uid="{FFB14D9D-E4E9-4C4C-A76C-AE8CE0C315EE}"/>
    <cellStyle name="40 % – Zvýraznění 4 15" xfId="2649" xr:uid="{A1C3E343-B403-430F-891B-4EE5552E0D8B}"/>
    <cellStyle name="40 % – Zvýraznění 4 16" xfId="2663" xr:uid="{3E2DC6E1-FF3C-40A0-A2A0-6DF995639DF3}"/>
    <cellStyle name="40 % – Zvýraznění 4 17" xfId="2677" xr:uid="{085E2211-48CD-45EB-A015-6D0E42C6C751}"/>
    <cellStyle name="40 % – Zvýraznění 4 18" xfId="2691" xr:uid="{39453A88-6865-440F-A37A-FEDA54A1C63B}"/>
    <cellStyle name="40 % – Zvýraznění 4 19" xfId="2705" xr:uid="{AD72EC20-B13A-41DF-9970-4770F333B2E6}"/>
    <cellStyle name="40 % – Zvýraznění 4 2" xfId="2467" xr:uid="{8F29B5EB-A432-4FF7-A97C-CF7E3F862772}"/>
    <cellStyle name="40 % – Zvýraznění 4 20" xfId="2719" xr:uid="{D8BAD1A9-FC38-4E0E-99D6-BEED25C9C11B}"/>
    <cellStyle name="40 % – Zvýraznění 4 21" xfId="2733" xr:uid="{8E467627-3220-4FE5-AA1D-21808675A2AC}"/>
    <cellStyle name="40 % – Zvýraznění 4 22" xfId="2750" xr:uid="{00577259-815A-438F-A921-F638DD6A5D86}"/>
    <cellStyle name="40 % – Zvýraznění 4 3" xfId="2481" xr:uid="{4D2879F9-59FE-4389-9E07-09ACD09AFECC}"/>
    <cellStyle name="40 % – Zvýraznění 4 4" xfId="2495" xr:uid="{5AAA7371-7381-4102-A545-4F514C2D65C9}"/>
    <cellStyle name="40 % – Zvýraznění 4 5" xfId="2509" xr:uid="{EEB04233-8529-4835-BD83-BDBC67B4CCB1}"/>
    <cellStyle name="40 % – Zvýraznění 4 6" xfId="2523" xr:uid="{CDE812B7-B374-44D8-9CA7-BE28CE103EB2}"/>
    <cellStyle name="40 % – Zvýraznění 4 7" xfId="2537" xr:uid="{0DD2C98C-F183-4BF8-AA81-49D85E30BE5E}"/>
    <cellStyle name="40 % – Zvýraznění 4 8" xfId="2551" xr:uid="{E7D3D29F-2A78-4B8D-9F54-B0F84397EB2D}"/>
    <cellStyle name="40 % – Zvýraznění 4 9" xfId="2565" xr:uid="{F160844C-64F1-41D3-8F4C-B9FAA10B2F59}"/>
    <cellStyle name="40 % – Zvýraznění 5" xfId="34" builtinId="47" customBuiltin="1"/>
    <cellStyle name="40 % – Zvýraznění 5 10" xfId="2581" xr:uid="{43B29578-6349-4B82-B7D0-6C27C6435797}"/>
    <cellStyle name="40 % – Zvýraznění 5 11" xfId="2595" xr:uid="{49B60764-BA44-4554-8868-E5E5D557B226}"/>
    <cellStyle name="40 % – Zvýraznění 5 12" xfId="2609" xr:uid="{973001A9-74AD-4876-A449-050971A989FB}"/>
    <cellStyle name="40 % – Zvýraznění 5 13" xfId="2623" xr:uid="{BB823734-DB31-45E5-B855-B861484D03C1}"/>
    <cellStyle name="40 % – Zvýraznění 5 14" xfId="2637" xr:uid="{B9D5AF59-FE63-4122-905D-BBE928817ED1}"/>
    <cellStyle name="40 % – Zvýraznění 5 15" xfId="2651" xr:uid="{C05BA0F0-5C05-4C64-9225-C7FDF18B854E}"/>
    <cellStyle name="40 % – Zvýraznění 5 16" xfId="2665" xr:uid="{8EF7E5DB-7B4A-4DBE-AF31-AFCDCC523FBE}"/>
    <cellStyle name="40 % – Zvýraznění 5 17" xfId="2679" xr:uid="{F134F89B-C562-4E1C-9FA6-75751124A590}"/>
    <cellStyle name="40 % – Zvýraznění 5 18" xfId="2693" xr:uid="{114CD328-11C4-4BF6-B8FC-950124768B24}"/>
    <cellStyle name="40 % – Zvýraznění 5 19" xfId="2707" xr:uid="{0FBA4576-2AC2-4793-81DE-571B42E65642}"/>
    <cellStyle name="40 % – Zvýraznění 5 2" xfId="2469" xr:uid="{E8EB6B94-FD3E-4882-830C-8C26F6E639DB}"/>
    <cellStyle name="40 % – Zvýraznění 5 20" xfId="2721" xr:uid="{7639A606-39EC-4025-A018-F604F36C9CC8}"/>
    <cellStyle name="40 % – Zvýraznění 5 21" xfId="2735" xr:uid="{B763B618-9C9E-4255-B1AC-B6A22C99BEF1}"/>
    <cellStyle name="40 % – Zvýraznění 5 22" xfId="2752" xr:uid="{72C19E43-B7CF-4DBC-8D05-C70A9C2372B6}"/>
    <cellStyle name="40 % – Zvýraznění 5 3" xfId="2483" xr:uid="{F75F327F-B8DC-44CE-AC11-FBA8CCA92726}"/>
    <cellStyle name="40 % – Zvýraznění 5 4" xfId="2497" xr:uid="{5F8C8D32-1C50-44F9-8E2F-ECAAABE7CBC6}"/>
    <cellStyle name="40 % – Zvýraznění 5 5" xfId="2511" xr:uid="{F5932189-D6C0-4C64-A570-AEE4CD03BAA3}"/>
    <cellStyle name="40 % – Zvýraznění 5 6" xfId="2525" xr:uid="{9FC0BDA7-D446-410C-84A5-18326F8F0B36}"/>
    <cellStyle name="40 % – Zvýraznění 5 7" xfId="2539" xr:uid="{22735E54-E4D1-4825-B502-B132596F4425}"/>
    <cellStyle name="40 % – Zvýraznění 5 8" xfId="2553" xr:uid="{E0F6CADB-CCA9-48DE-93D5-D727FFB5E08A}"/>
    <cellStyle name="40 % – Zvýraznění 5 9" xfId="2567" xr:uid="{9E3F9ABF-9B98-4E78-A615-9693121A7257}"/>
    <cellStyle name="40 % – Zvýraznění 6" xfId="37" builtinId="51" customBuiltin="1"/>
    <cellStyle name="40 % – Zvýraznění 6 10" xfId="2583" xr:uid="{B142310C-E836-4774-A981-2B09B0CCBF8B}"/>
    <cellStyle name="40 % – Zvýraznění 6 11" xfId="2597" xr:uid="{5B39DAE5-A0D1-4719-8956-9F85F1ACC6BF}"/>
    <cellStyle name="40 % – Zvýraznění 6 12" xfId="2611" xr:uid="{9DAC2B43-84BD-4D07-846E-DBAADABF4F39}"/>
    <cellStyle name="40 % – Zvýraznění 6 13" xfId="2625" xr:uid="{369234EC-986A-46DE-A99F-0A78DC9D6F1F}"/>
    <cellStyle name="40 % – Zvýraznění 6 14" xfId="2639" xr:uid="{8A96A7BF-97F1-4A1E-BA71-83889322E5FA}"/>
    <cellStyle name="40 % – Zvýraznění 6 15" xfId="2653" xr:uid="{E4B29A8F-6EF3-49B9-ACF6-4C01EB1ED78A}"/>
    <cellStyle name="40 % – Zvýraznění 6 16" xfId="2667" xr:uid="{556FF799-80F1-490B-A4A1-0B96A075A642}"/>
    <cellStyle name="40 % – Zvýraznění 6 17" xfId="2681" xr:uid="{263711FD-068F-418D-95B9-6EBE6D5D9D78}"/>
    <cellStyle name="40 % – Zvýraznění 6 18" xfId="2695" xr:uid="{EBEEA4F7-388F-45FF-B8E1-CBB6E52B0E57}"/>
    <cellStyle name="40 % – Zvýraznění 6 19" xfId="2709" xr:uid="{17FF4FFA-3898-48FD-8178-5A4C4A051D1A}"/>
    <cellStyle name="40 % – Zvýraznění 6 2" xfId="2471" xr:uid="{A7B8BFC7-20D4-40E6-B3BD-6DFDD5F4CF51}"/>
    <cellStyle name="40 % – Zvýraznění 6 20" xfId="2723" xr:uid="{E368EDF8-B69E-449B-905C-6976C2BAD7C3}"/>
    <cellStyle name="40 % – Zvýraznění 6 21" xfId="2737" xr:uid="{7849F8C5-B729-43AA-9CD1-827434722934}"/>
    <cellStyle name="40 % – Zvýraznění 6 22" xfId="2754" xr:uid="{201D77BB-C5B9-41A1-92E5-F2CF22BFCC94}"/>
    <cellStyle name="40 % – Zvýraznění 6 3" xfId="2485" xr:uid="{334132E4-286D-48D4-BD90-4196CB9D3FEF}"/>
    <cellStyle name="40 % – Zvýraznění 6 4" xfId="2499" xr:uid="{3213E2A7-BD0A-4E83-88E6-FF685CE6A06E}"/>
    <cellStyle name="40 % – Zvýraznění 6 5" xfId="2513" xr:uid="{53989E6C-25A2-4A45-8B61-0E3539736DC5}"/>
    <cellStyle name="40 % – Zvýraznění 6 6" xfId="2527" xr:uid="{3DD4740D-61A5-4F40-81E0-F8CBAC6BB7C8}"/>
    <cellStyle name="40 % – Zvýraznění 6 7" xfId="2541" xr:uid="{71A771EC-2F4A-47C9-BB60-DD7DFF441ED8}"/>
    <cellStyle name="40 % – Zvýraznění 6 8" xfId="2555" xr:uid="{2A48AB44-C4D5-4BDA-90B0-CD5CB11659DB}"/>
    <cellStyle name="40 % – Zvýraznění 6 9" xfId="2569" xr:uid="{82622FB7-D47F-418B-BBB9-ABF6D17EE890}"/>
    <cellStyle name="40% - Accent1" xfId="61" xr:uid="{33B94781-22B3-494C-AAEC-C62BD518F74B}"/>
    <cellStyle name="40% - Accent1 2" xfId="62" xr:uid="{97D15B24-792A-4024-9286-2894D8563EA0}"/>
    <cellStyle name="40% - Accent2" xfId="63" xr:uid="{A97B6AA5-8058-4E89-96EB-A816125F968F}"/>
    <cellStyle name="40% - Accent2 2" xfId="64" xr:uid="{3175385A-F5CD-4D8E-8295-87B6E8F45962}"/>
    <cellStyle name="40% - Accent3" xfId="65" xr:uid="{07178ECA-C888-49A4-9C43-26A1FBE73468}"/>
    <cellStyle name="40% - Accent3 2" xfId="66" xr:uid="{5E962760-F315-447E-9C47-6653BBA00DA4}"/>
    <cellStyle name="40% - Accent4" xfId="67" xr:uid="{F007C180-309C-4DCD-8882-0763EA8A5A68}"/>
    <cellStyle name="40% - Accent4 2" xfId="68" xr:uid="{29D9A56D-87D3-484E-8982-4F40E2DB75E1}"/>
    <cellStyle name="40% - Accent5" xfId="69" xr:uid="{BB0DAAA2-985A-4D59-81F9-7FFFDAA9819C}"/>
    <cellStyle name="40% - Accent5 2" xfId="70" xr:uid="{24026954-BFA2-4A3D-A481-FE7D1E06DA17}"/>
    <cellStyle name="40% - Accent6" xfId="71" xr:uid="{CB7995C8-AB57-4D24-A9FC-CE1C496C4157}"/>
    <cellStyle name="40% - Accent6 2" xfId="72" xr:uid="{5F820BA0-FB8B-4FFE-AB4E-1140817DFF6B}"/>
    <cellStyle name="60 % – Zvýraznění 1 2" xfId="43" xr:uid="{FAF89C68-9916-4CEB-9D6D-E2F688D8A100}"/>
    <cellStyle name="60 % – Zvýraznění 2 2" xfId="44" xr:uid="{315960C6-53C8-40C6-A335-9A73C689DD38}"/>
    <cellStyle name="60 % – Zvýraznění 3 2" xfId="45" xr:uid="{A8AC3F48-2C76-405B-A745-D5ADDC229BE0}"/>
    <cellStyle name="60 % – Zvýraznění 4 2" xfId="46" xr:uid="{FD77994C-E4CD-4F4F-ADF5-2F7F4937A48F}"/>
    <cellStyle name="60 % – Zvýraznění 5 2" xfId="47" xr:uid="{231D2462-1F69-4A9A-8716-2DA58D254ED0}"/>
    <cellStyle name="60 % – Zvýraznění 6 2" xfId="48" xr:uid="{BDE64635-096C-4E5D-94EF-82B731510C0B}"/>
    <cellStyle name="60% - Accent1" xfId="73" xr:uid="{0DBE9813-C7A5-47F7-B178-9AFD8E6DD4A0}"/>
    <cellStyle name="60% - Accent1 2" xfId="74" xr:uid="{805A5CA5-42CF-44A2-86F7-F9D02A0EF8D7}"/>
    <cellStyle name="60% - Accent2" xfId="75" xr:uid="{CE9D1A49-17B4-46E7-97CC-B100EA4037EF}"/>
    <cellStyle name="60% - Accent2 2" xfId="76" xr:uid="{4E540DAE-2224-4DD7-BD79-B37B8303C581}"/>
    <cellStyle name="60% - Accent3" xfId="77" xr:uid="{F3A0EB6F-8927-4DC4-9068-36D8412DA57D}"/>
    <cellStyle name="60% - Accent3 2" xfId="78" xr:uid="{8933E2F3-6014-4928-B32C-64989AB25A0C}"/>
    <cellStyle name="60% - Accent4" xfId="79" xr:uid="{31CC8D09-E257-4586-B93D-CEB168D76F21}"/>
    <cellStyle name="60% - Accent4 2" xfId="80" xr:uid="{CD7ACF93-AD8F-4AD5-9481-FCB29A2CD2BC}"/>
    <cellStyle name="60% - Accent5" xfId="81" xr:uid="{196298B4-5202-4E50-885C-86E02931269E}"/>
    <cellStyle name="60% - Accent5 2" xfId="82" xr:uid="{D92E350A-44A4-4358-9FBD-69AA6B0CEAC3}"/>
    <cellStyle name="60% - Accent6" xfId="83" xr:uid="{C93403CD-EF80-4BB9-9999-A3750B67CB1D}"/>
    <cellStyle name="60% - Accent6 2" xfId="84" xr:uid="{F66CF510-D267-43B1-BD09-FF6A1E62869B}"/>
    <cellStyle name="Accent1" xfId="85" xr:uid="{27B5A7B3-093C-48A1-A952-3F930D3A8477}"/>
    <cellStyle name="Accent1 2" xfId="86" xr:uid="{0AE8551B-5FF6-4F8A-8534-5DC26FF9506A}"/>
    <cellStyle name="Accent2" xfId="87" xr:uid="{97FAD0C3-CD68-4F7D-B571-A245261B5DA4}"/>
    <cellStyle name="Accent2 2" xfId="88" xr:uid="{8E1330B0-D324-4C96-9216-E123F448FC72}"/>
    <cellStyle name="Accent3" xfId="89" xr:uid="{9D9D821D-42FF-4BED-9972-0302D9D2ACD3}"/>
    <cellStyle name="Accent3 2" xfId="90" xr:uid="{A26F38A5-297C-42EA-898B-9A6EC13DB145}"/>
    <cellStyle name="Accent4" xfId="91" xr:uid="{0F2BACF1-1FEA-4191-8270-DF096D1DA5E9}"/>
    <cellStyle name="Accent4 2" xfId="92" xr:uid="{B19F9091-E790-4CF6-A75B-82D39F0B2D22}"/>
    <cellStyle name="Accent5" xfId="93" xr:uid="{2490105B-D23F-42E2-BDCE-8DE64017660A}"/>
    <cellStyle name="Accent5 2" xfId="94" xr:uid="{E8B67F8E-61CF-4A2B-A79A-093C780EAD06}"/>
    <cellStyle name="Accent6" xfId="95" xr:uid="{934B9EB4-4EF2-4AEA-9A80-F5DC153C5E00}"/>
    <cellStyle name="Accent6 2" xfId="96" xr:uid="{6DB0ECD5-5F56-4BED-9F3A-66C8F8EE76BE}"/>
    <cellStyle name="Bad" xfId="97" xr:uid="{F0E0F8D4-65F0-46AC-B096-187D0CBE5488}"/>
    <cellStyle name="Bad 2" xfId="98" xr:uid="{33AFF8B5-B80D-451E-AA40-AD930B390BB0}"/>
    <cellStyle name="Calculation" xfId="99" xr:uid="{630F6F85-C4F1-4276-90D1-AC921DC5FB1B}"/>
    <cellStyle name="Calculation 10" xfId="100" xr:uid="{FC085E37-B8C0-4C71-ADFD-ABA3819C0A93}"/>
    <cellStyle name="Calculation 10 10" xfId="101" xr:uid="{39E03F23-65F8-44FE-8110-CFC2FDAE82FF}"/>
    <cellStyle name="Calculation 10 10 2" xfId="102" xr:uid="{753EAFD2-32D4-4EAD-AD44-7A98CDABA6CB}"/>
    <cellStyle name="Calculation 10 11" xfId="103" xr:uid="{F98A2E62-4794-416D-A5AD-7A4D80C103D5}"/>
    <cellStyle name="Calculation 10 11 2" xfId="104" xr:uid="{E6EA7F49-A7A6-4CEE-8B86-CD5C9AC552F2}"/>
    <cellStyle name="Calculation 10 12" xfId="105" xr:uid="{12AF6E2E-FD7B-42A8-AA0B-5B266576A06F}"/>
    <cellStyle name="Calculation 10 12 2" xfId="106" xr:uid="{28B9128C-1B6E-4F52-BF78-992FE0E4B116}"/>
    <cellStyle name="Calculation 10 13" xfId="107" xr:uid="{E75E1D96-7E03-43CF-A7BD-CF6BDA9CE569}"/>
    <cellStyle name="Calculation 10 13 2" xfId="108" xr:uid="{909BABA3-A3A2-490F-BEDF-A75192834301}"/>
    <cellStyle name="Calculation 10 14" xfId="109" xr:uid="{C289876B-D1B7-47F5-B050-379F5A41024E}"/>
    <cellStyle name="Calculation 10 14 2" xfId="110" xr:uid="{A276109F-1CAD-4561-B586-FE8BC035AC8B}"/>
    <cellStyle name="Calculation 10 15" xfId="111" xr:uid="{3971C814-B1E7-4087-B9AE-DA1140F0F535}"/>
    <cellStyle name="Calculation 10 15 2" xfId="112" xr:uid="{B5C906D1-96E6-4692-A03E-23E196EDF3CE}"/>
    <cellStyle name="Calculation 10 16" xfId="113" xr:uid="{C51F9491-4541-4F88-B305-847549DC0331}"/>
    <cellStyle name="Calculation 10 16 2" xfId="114" xr:uid="{D7A7EB02-6036-4CFE-A4AA-5E24E2B4AE6A}"/>
    <cellStyle name="Calculation 10 17" xfId="115" xr:uid="{773355B9-C551-4F9A-8342-E3348B2E3EDD}"/>
    <cellStyle name="Calculation 10 17 2" xfId="116" xr:uid="{005D0068-0C9C-4F5B-8995-D2E00D13DC90}"/>
    <cellStyle name="Calculation 10 18" xfId="117" xr:uid="{3928B38F-90A1-4325-8FCB-429799369194}"/>
    <cellStyle name="Calculation 10 18 2" xfId="118" xr:uid="{E980239C-B71B-4E7E-A34A-6A11C122A1FB}"/>
    <cellStyle name="Calculation 10 19" xfId="119" xr:uid="{F1DC3988-14C3-4846-9727-BB743C0382C2}"/>
    <cellStyle name="Calculation 10 19 2" xfId="120" xr:uid="{91740C81-759E-425C-8A6A-B68F756019E7}"/>
    <cellStyle name="Calculation 10 2" xfId="121" xr:uid="{7739AD22-84C3-4936-973C-504CD4F859FC}"/>
    <cellStyle name="Calculation 10 2 2" xfId="122" xr:uid="{63D1485E-BBE6-43CC-B585-EE7345AE83D8}"/>
    <cellStyle name="Calculation 10 20" xfId="123" xr:uid="{D2302B34-C6E6-47B3-949C-407B9965CA84}"/>
    <cellStyle name="Calculation 10 20 2" xfId="124" xr:uid="{68EDD5B1-FAD6-4B70-9B92-891571565E62}"/>
    <cellStyle name="Calculation 10 21" xfId="125" xr:uid="{84F1DF06-A270-4E84-8B72-CD24939A3B19}"/>
    <cellStyle name="Calculation 10 21 2" xfId="126" xr:uid="{BD3222E5-53A7-4D6F-9D92-21948B3C1F00}"/>
    <cellStyle name="Calculation 10 22" xfId="127" xr:uid="{5802C90D-741A-4310-9563-C45FDCD483AF}"/>
    <cellStyle name="Calculation 10 3" xfId="128" xr:uid="{4EEBD6EC-1F6F-463D-830F-87A0683750F4}"/>
    <cellStyle name="Calculation 10 3 2" xfId="129" xr:uid="{6B09864B-48FC-4323-B624-500CE25BA00A}"/>
    <cellStyle name="Calculation 10 4" xfId="130" xr:uid="{1D504F5A-3888-4718-8BDE-1FC69B0F95E9}"/>
    <cellStyle name="Calculation 10 4 2" xfId="131" xr:uid="{C938BF3E-1EDF-408F-95A0-7C3EFC38596E}"/>
    <cellStyle name="Calculation 10 5" xfId="132" xr:uid="{A6D6F79B-A413-4768-AA10-957C42AAB084}"/>
    <cellStyle name="Calculation 10 5 2" xfId="133" xr:uid="{1582A5F9-CB6D-48FF-BDCB-982AEEB65D0E}"/>
    <cellStyle name="Calculation 10 6" xfId="134" xr:uid="{AACCFAC2-E8D4-4F14-89D5-07E877D580A5}"/>
    <cellStyle name="Calculation 10 6 2" xfId="135" xr:uid="{D41F60B5-8BF2-4C4E-A36E-4A2A364DAD7B}"/>
    <cellStyle name="Calculation 10 7" xfId="136" xr:uid="{2DE10D82-B8AD-418A-A4FE-3E5C259BB137}"/>
    <cellStyle name="Calculation 10 7 2" xfId="137" xr:uid="{390E4A6D-0121-43A2-A030-0750D0F01AC5}"/>
    <cellStyle name="Calculation 10 8" xfId="138" xr:uid="{4846F2E7-A947-48BA-A7A2-AA67EEAD410B}"/>
    <cellStyle name="Calculation 10 8 2" xfId="139" xr:uid="{14002FCE-7536-43DA-8E00-EC335B8E3BFB}"/>
    <cellStyle name="Calculation 10 9" xfId="140" xr:uid="{0B8430A6-FBC4-453C-9817-1952E99D4CE7}"/>
    <cellStyle name="Calculation 10 9 2" xfId="141" xr:uid="{9C587321-CEB2-4AC1-93A7-F5BAAA5F86C4}"/>
    <cellStyle name="Calculation 11" xfId="142" xr:uid="{533FFA8F-18D8-4541-91AC-7A1DC294B9C8}"/>
    <cellStyle name="Calculation 11 2" xfId="143" xr:uid="{29DE4B21-FE0B-4A01-A951-0AABBD9BE4EA}"/>
    <cellStyle name="Calculation 12" xfId="144" xr:uid="{111CFC05-6A17-46D2-987F-7856CA9928CB}"/>
    <cellStyle name="Calculation 12 2" xfId="145" xr:uid="{2E5341BE-4ECA-4E9F-B9CB-DAE52381D541}"/>
    <cellStyle name="Calculation 13" xfId="146" xr:uid="{87B6F23C-9E42-4E19-BBF6-D25B09314FA8}"/>
    <cellStyle name="Calculation 13 2" xfId="147" xr:uid="{A431C268-5347-4080-9833-7482D34F42CD}"/>
    <cellStyle name="Calculation 14" xfId="148" xr:uid="{2F251A09-4403-4716-9141-28DB2AA656E0}"/>
    <cellStyle name="Calculation 14 2" xfId="149" xr:uid="{36D9D18D-162A-420C-84DB-E76664E2C045}"/>
    <cellStyle name="Calculation 15" xfId="150" xr:uid="{D714332B-81E0-4B63-89A3-0574095269AC}"/>
    <cellStyle name="Calculation 15 2" xfId="151" xr:uid="{959FD24C-0360-4D49-B3AB-06E532472017}"/>
    <cellStyle name="Calculation 16" xfId="152" xr:uid="{E3A52E15-7AED-4A17-9943-9CDAD2046153}"/>
    <cellStyle name="Calculation 16 2" xfId="153" xr:uid="{7435CB00-3EFF-4F5E-9C04-0FE40C61E4EE}"/>
    <cellStyle name="Calculation 17" xfId="154" xr:uid="{819A643B-44D2-446B-B643-1B0EB5B3C7E6}"/>
    <cellStyle name="Calculation 17 2" xfId="155" xr:uid="{F9A142C2-AFFC-493A-8B24-19DFD2D5201E}"/>
    <cellStyle name="Calculation 18" xfId="156" xr:uid="{3C1B16C9-A7E8-427B-A73F-A02BBA6A75A4}"/>
    <cellStyle name="Calculation 18 2" xfId="157" xr:uid="{1C062FB0-9AD3-41D9-95A3-D45D2FFF963F}"/>
    <cellStyle name="Calculation 19" xfId="158" xr:uid="{D4196C7B-3F3E-4672-B4B5-CAE3E5000BE1}"/>
    <cellStyle name="Calculation 19 2" xfId="159" xr:uid="{FDFA12FD-0966-42C7-AA81-1F3F2C7C6098}"/>
    <cellStyle name="Calculation 2" xfId="160" xr:uid="{A26428D3-E6FA-4206-AC29-86C568B194F6}"/>
    <cellStyle name="Calculation 2 10" xfId="161" xr:uid="{74D27587-C709-41FD-9E91-F5F1085D15DE}"/>
    <cellStyle name="Calculation 2 10 2" xfId="162" xr:uid="{F93A1942-C1D6-4B33-8949-80F1E9AEBB5A}"/>
    <cellStyle name="Calculation 2 11" xfId="163" xr:uid="{934DFE6B-E901-44F5-8C00-36CA9FC7E047}"/>
    <cellStyle name="Calculation 2 11 2" xfId="164" xr:uid="{688C96D8-E753-4E5B-8F01-6BBF2FFE51EB}"/>
    <cellStyle name="Calculation 2 12" xfId="165" xr:uid="{11F7DA4F-9B47-47A6-90F3-11535DD1E6F1}"/>
    <cellStyle name="Calculation 2 12 2" xfId="166" xr:uid="{B57E09BC-CA88-4566-A899-69E69A2F4FA9}"/>
    <cellStyle name="Calculation 2 13" xfId="167" xr:uid="{8BD90AD8-B338-405E-BE27-F0464CF0A726}"/>
    <cellStyle name="Calculation 2 13 2" xfId="168" xr:uid="{A2C48E62-BC4F-4DAB-A39A-E81BBF53FA6F}"/>
    <cellStyle name="Calculation 2 14" xfId="169" xr:uid="{BE46789B-5D74-43A1-9AB3-9A8B56A632F5}"/>
    <cellStyle name="Calculation 2 14 2" xfId="170" xr:uid="{473CEE18-B614-4B57-859B-83B1B914BAE9}"/>
    <cellStyle name="Calculation 2 15" xfId="171" xr:uid="{6A54FB0F-D086-400E-93E1-35A8FB6B0B22}"/>
    <cellStyle name="Calculation 2 15 2" xfId="172" xr:uid="{78647A9A-6D30-47A1-9667-F7601983EF97}"/>
    <cellStyle name="Calculation 2 16" xfId="173" xr:uid="{33F16C7A-A402-4608-B51A-3187AC47B0F0}"/>
    <cellStyle name="Calculation 2 16 2" xfId="174" xr:uid="{6DC165EE-059A-456C-B1EF-9A38953B9CE5}"/>
    <cellStyle name="Calculation 2 17" xfId="175" xr:uid="{0CF67189-FA2D-49AA-8E77-F4626ADC9149}"/>
    <cellStyle name="Calculation 2 17 2" xfId="176" xr:uid="{FB2CACBF-81E6-4EE7-A3B9-4686477D69E6}"/>
    <cellStyle name="Calculation 2 18" xfId="177" xr:uid="{B8E363AC-EDA4-4510-852E-565467A33192}"/>
    <cellStyle name="Calculation 2 18 2" xfId="178" xr:uid="{02F62DE9-81FC-454D-9641-D3CC63E028DC}"/>
    <cellStyle name="Calculation 2 19" xfId="179" xr:uid="{7F3DBA41-5321-4277-BEF1-EF0C1A41D833}"/>
    <cellStyle name="Calculation 2 19 2" xfId="180" xr:uid="{F1AC19ED-E5C9-481B-83C4-2906CC1021B2}"/>
    <cellStyle name="Calculation 2 2" xfId="181" xr:uid="{2DC5E492-96C0-47F4-AFDB-2EA0C2C152E6}"/>
    <cellStyle name="Calculation 2 2 2" xfId="182" xr:uid="{0E4F9BA8-953C-4CEB-AB40-0536C1A64CFB}"/>
    <cellStyle name="Calculation 2 20" xfId="183" xr:uid="{3734801B-F6F0-452D-8782-B8EFCBCC82EA}"/>
    <cellStyle name="Calculation 2 20 2" xfId="184" xr:uid="{A01211F2-D9EA-4C40-A098-8068EA39C58F}"/>
    <cellStyle name="Calculation 2 21" xfId="185" xr:uid="{B7CADB08-2CFE-480C-AAD3-0C9329C8943D}"/>
    <cellStyle name="Calculation 2 21 2" xfId="186" xr:uid="{A0A70AF0-820C-4ED7-8744-0D9BDB530166}"/>
    <cellStyle name="Calculation 2 22" xfId="187" xr:uid="{F6C41E1F-1E1A-4268-8650-D869B1EBDD93}"/>
    <cellStyle name="Calculation 2 22 2" xfId="188" xr:uid="{1D29B41E-2B76-4580-92C4-9AB29DC4689E}"/>
    <cellStyle name="Calculation 2 23" xfId="189" xr:uid="{F9FF138B-7E12-408E-895B-9001DBE02426}"/>
    <cellStyle name="Calculation 2 3" xfId="190" xr:uid="{6034CBB4-A7C0-469E-BE99-1CFE2B41D906}"/>
    <cellStyle name="Calculation 2 3 2" xfId="191" xr:uid="{21A33232-4CBC-4520-825E-92A1DFBA820C}"/>
    <cellStyle name="Calculation 2 4" xfId="192" xr:uid="{6A17AF40-E493-45D8-B43D-9F84A9525C85}"/>
    <cellStyle name="Calculation 2 4 2" xfId="193" xr:uid="{B814C774-8F7F-4B25-AB34-1621E31B1AD0}"/>
    <cellStyle name="Calculation 2 5" xfId="194" xr:uid="{957787F2-274A-40E6-829F-01346C2BB1D8}"/>
    <cellStyle name="Calculation 2 5 2" xfId="195" xr:uid="{063913F4-88C5-45DE-81C1-92F47E3F0812}"/>
    <cellStyle name="Calculation 2 6" xfId="196" xr:uid="{36871549-5526-4361-B02F-BF2EDB6B799F}"/>
    <cellStyle name="Calculation 2 6 2" xfId="197" xr:uid="{4BE8D83A-0077-4053-B295-11D96ACE3ECF}"/>
    <cellStyle name="Calculation 2 7" xfId="198" xr:uid="{D6EFBDB6-632E-4E0A-9033-ACD5BFBC3720}"/>
    <cellStyle name="Calculation 2 7 2" xfId="199" xr:uid="{75DF1E95-C0C4-4969-8765-4CA7DAAB047D}"/>
    <cellStyle name="Calculation 2 8" xfId="200" xr:uid="{DF87FB51-A787-45E9-8E71-948262EACEB1}"/>
    <cellStyle name="Calculation 2 8 2" xfId="201" xr:uid="{78EB2CD6-8D1B-4BB3-8103-CB3289F955D1}"/>
    <cellStyle name="Calculation 2 9" xfId="202" xr:uid="{71E9000C-5C97-47C4-AD60-414F63E6C858}"/>
    <cellStyle name="Calculation 2 9 2" xfId="203" xr:uid="{6C3D76E4-7C0B-4399-8578-09BEA6220C33}"/>
    <cellStyle name="Calculation 20" xfId="204" xr:uid="{065FC5DE-A22C-4E40-ADB4-46908D596010}"/>
    <cellStyle name="Calculation 20 2" xfId="205" xr:uid="{C9F047A2-6B23-428A-87A6-1A19F267E605}"/>
    <cellStyle name="Calculation 21" xfId="206" xr:uid="{B43F24EB-C81C-4E46-ABDE-1C68A01CB928}"/>
    <cellStyle name="Calculation 21 2" xfId="207" xr:uid="{E9776599-3C65-40DF-B3CF-80C972468740}"/>
    <cellStyle name="Calculation 22" xfId="208" xr:uid="{4E577085-10F4-43E0-95FE-5DD1E7F450A2}"/>
    <cellStyle name="Calculation 22 2" xfId="209" xr:uid="{AB40473E-11CF-416D-8E83-CA20F4093F08}"/>
    <cellStyle name="Calculation 23" xfId="210" xr:uid="{82166515-A275-488C-899B-AD4AFFA979BD}"/>
    <cellStyle name="Calculation 23 2" xfId="211" xr:uid="{1478E36F-5AA9-4776-A61E-D7721816D932}"/>
    <cellStyle name="Calculation 24" xfId="212" xr:uid="{B6D0AD8C-5EF7-4BF1-9978-A7D6DE0B32E2}"/>
    <cellStyle name="Calculation 24 2" xfId="213" xr:uid="{21179E4A-5980-4B5D-ACF5-85F09ABF2BE1}"/>
    <cellStyle name="Calculation 25" xfId="214" xr:uid="{1F65B2DE-1928-4DBF-9A60-A7090BE05BEF}"/>
    <cellStyle name="Calculation 25 2" xfId="215" xr:uid="{011E3C65-C052-43F3-8868-DB49BE316DD9}"/>
    <cellStyle name="Calculation 26" xfId="216" xr:uid="{51FD05C6-1C2C-41DF-B6F0-6F5D845E6602}"/>
    <cellStyle name="Calculation 26 2" xfId="217" xr:uid="{5E093D95-C30B-4BF5-B42D-F4CCE7417DB2}"/>
    <cellStyle name="Calculation 27" xfId="218" xr:uid="{3702FF1E-C4F4-42E9-B072-D45FB10E290B}"/>
    <cellStyle name="Calculation 27 2" xfId="219" xr:uid="{EA9B230E-88FA-4972-8D6E-A4B1723F8521}"/>
    <cellStyle name="Calculation 28" xfId="220" xr:uid="{AC5C6853-7EBD-43A7-AFCE-E370B8C8FAC2}"/>
    <cellStyle name="Calculation 28 2" xfId="221" xr:uid="{34587855-5631-4E33-9BF7-AEA5908E7657}"/>
    <cellStyle name="Calculation 29" xfId="222" xr:uid="{B280DD20-C6A2-4009-9039-0B0C800E6878}"/>
    <cellStyle name="Calculation 3" xfId="223" xr:uid="{9BB0E420-C890-4E89-81CD-270027E4CD7C}"/>
    <cellStyle name="Calculation 3 10" xfId="224" xr:uid="{4E657EB6-FD12-466E-A159-D5B389BD9191}"/>
    <cellStyle name="Calculation 3 10 2" xfId="225" xr:uid="{9465D5FD-B216-46AF-8294-B3D8027F3877}"/>
    <cellStyle name="Calculation 3 11" xfId="226" xr:uid="{CC1CD275-A1A6-4D33-89E1-2E0632F6CA3B}"/>
    <cellStyle name="Calculation 3 11 2" xfId="227" xr:uid="{1872B5CF-0940-48C0-A178-37E81A18BF79}"/>
    <cellStyle name="Calculation 3 12" xfId="228" xr:uid="{2F533F5A-6813-408B-8198-813724549914}"/>
    <cellStyle name="Calculation 3 12 2" xfId="229" xr:uid="{0C9BFE42-00AE-458C-8B67-EDFC16F07710}"/>
    <cellStyle name="Calculation 3 13" xfId="230" xr:uid="{F1F6BE6C-9D5E-49DA-80AB-144CE7B09529}"/>
    <cellStyle name="Calculation 3 13 2" xfId="231" xr:uid="{1AFD9945-7E93-4116-A8F9-3EF873E05BA1}"/>
    <cellStyle name="Calculation 3 14" xfId="232" xr:uid="{F0E28B16-2C6D-4FB4-AE2E-C8F97116ACD3}"/>
    <cellStyle name="Calculation 3 14 2" xfId="233" xr:uid="{B613DC43-2BF1-472C-B612-D748EF73CFC2}"/>
    <cellStyle name="Calculation 3 15" xfId="234" xr:uid="{C0959CF9-EEBC-47A5-8253-3D0506FD169A}"/>
    <cellStyle name="Calculation 3 15 2" xfId="235" xr:uid="{0E2AAA0E-FC69-4E85-90C9-52D4AA4AB540}"/>
    <cellStyle name="Calculation 3 16" xfId="236" xr:uid="{6B489846-DF1B-4D0E-A2E3-13F12ACF8968}"/>
    <cellStyle name="Calculation 3 16 2" xfId="237" xr:uid="{D0A024A1-2E97-4255-8040-AAFECD59A888}"/>
    <cellStyle name="Calculation 3 17" xfId="238" xr:uid="{BBE13054-A834-4920-90A8-D4A553F29B0E}"/>
    <cellStyle name="Calculation 3 17 2" xfId="239" xr:uid="{79D40297-A497-4241-9B9B-4FAA6E279A7C}"/>
    <cellStyle name="Calculation 3 18" xfId="240" xr:uid="{2DBD047E-9906-4F0E-A824-5E5A1A0911EC}"/>
    <cellStyle name="Calculation 3 18 2" xfId="241" xr:uid="{E6C71D51-1993-4A3A-805B-5A318AA4D580}"/>
    <cellStyle name="Calculation 3 19" xfId="242" xr:uid="{B24A7329-353D-4835-A8E5-B007FA0B4FD3}"/>
    <cellStyle name="Calculation 3 19 2" xfId="243" xr:uid="{CFAA6E0B-744F-4E3D-90E8-57AD0103E441}"/>
    <cellStyle name="Calculation 3 2" xfId="244" xr:uid="{8F6ABF56-3970-4D4E-A85F-F4431E66BE08}"/>
    <cellStyle name="Calculation 3 2 2" xfId="245" xr:uid="{62B02852-3302-4B4B-9AD3-4BB54AA5EB79}"/>
    <cellStyle name="Calculation 3 20" xfId="246" xr:uid="{20EC649F-0E89-4B89-AE71-4A90CE19C3AD}"/>
    <cellStyle name="Calculation 3 20 2" xfId="247" xr:uid="{8AA78871-733F-4527-BF23-BB8C31C399F6}"/>
    <cellStyle name="Calculation 3 21" xfId="248" xr:uid="{7531BA93-6A42-43DE-A0C5-E79BAB0B9BEC}"/>
    <cellStyle name="Calculation 3 21 2" xfId="249" xr:uid="{F8A4A60A-86F4-4D8B-AC38-906F5C30D1AF}"/>
    <cellStyle name="Calculation 3 22" xfId="250" xr:uid="{95B255EA-714A-4085-94D9-BA7B7C4C8A1E}"/>
    <cellStyle name="Calculation 3 22 2" xfId="251" xr:uid="{70DE2704-3512-4D73-A617-6BF7F9EB280D}"/>
    <cellStyle name="Calculation 3 23" xfId="252" xr:uid="{86DC86B8-A7BB-4E5F-9045-E5BFDDE32A86}"/>
    <cellStyle name="Calculation 3 3" xfId="253" xr:uid="{E24CCD2C-0A3D-4613-BCCA-95C71DCD94A8}"/>
    <cellStyle name="Calculation 3 3 2" xfId="254" xr:uid="{3A5AC959-BF88-46BC-9CB3-ADBE3BF9B8C9}"/>
    <cellStyle name="Calculation 3 4" xfId="255" xr:uid="{0D66CC8B-AD15-4709-9A09-CA233F367F35}"/>
    <cellStyle name="Calculation 3 4 2" xfId="256" xr:uid="{9924727C-67CC-4F06-ABF6-5580CC9A6295}"/>
    <cellStyle name="Calculation 3 5" xfId="257" xr:uid="{03238AC2-917A-4D61-809E-77F4F5958095}"/>
    <cellStyle name="Calculation 3 5 2" xfId="258" xr:uid="{26CDF197-8964-4095-97E1-0FE9CB023D21}"/>
    <cellStyle name="Calculation 3 6" xfId="259" xr:uid="{BE982DE2-C559-429F-93C9-00ECC61D4EC9}"/>
    <cellStyle name="Calculation 3 6 2" xfId="260" xr:uid="{06C31667-A1C3-4F35-B280-3B39D4EDF3E7}"/>
    <cellStyle name="Calculation 3 7" xfId="261" xr:uid="{E6993BA5-E6B0-4537-A3E7-B2439B70027C}"/>
    <cellStyle name="Calculation 3 7 2" xfId="262" xr:uid="{46F89448-6E58-4A7A-A3E8-9F76302909B9}"/>
    <cellStyle name="Calculation 3 8" xfId="263" xr:uid="{506B0D8F-6B90-45A8-9235-A474449CD388}"/>
    <cellStyle name="Calculation 3 8 2" xfId="264" xr:uid="{19B84540-ED19-4C16-B9B7-F7ECA880B37B}"/>
    <cellStyle name="Calculation 3 9" xfId="265" xr:uid="{5D54A1D2-89C1-4F77-84AE-0512883767BA}"/>
    <cellStyle name="Calculation 3 9 2" xfId="266" xr:uid="{A4B1318F-7569-4DDC-83E4-9B16FD66D0DF}"/>
    <cellStyle name="Calculation 30" xfId="267" xr:uid="{30A502AD-C4D0-40AA-9D36-31DA6CCA689E}"/>
    <cellStyle name="Calculation 4" xfId="268" xr:uid="{4198269F-2765-4BAD-9312-58566FFA5FBD}"/>
    <cellStyle name="Calculation 4 10" xfId="269" xr:uid="{9D6C7E78-D423-4BFD-A156-CA43706CD817}"/>
    <cellStyle name="Calculation 4 10 2" xfId="270" xr:uid="{D2994A58-24DE-4D0F-8F58-772D2185F7CF}"/>
    <cellStyle name="Calculation 4 11" xfId="271" xr:uid="{A12F46AE-76C6-4EE5-8C09-49B9D8E6A8EA}"/>
    <cellStyle name="Calculation 4 11 2" xfId="272" xr:uid="{B005CE51-B556-49AD-A2F7-45A676FAC5C1}"/>
    <cellStyle name="Calculation 4 12" xfId="273" xr:uid="{A23A34CB-7B68-446B-9D6B-EFA3D1A2D5D7}"/>
    <cellStyle name="Calculation 4 12 2" xfId="274" xr:uid="{4E914B89-3C41-48A0-A05C-3A3AFB85577A}"/>
    <cellStyle name="Calculation 4 13" xfId="275" xr:uid="{0DC38EA7-C64B-476F-BC6F-FA6D5406963A}"/>
    <cellStyle name="Calculation 4 13 2" xfId="276" xr:uid="{7EA789F9-E040-4E70-9B21-E83DEECA1284}"/>
    <cellStyle name="Calculation 4 14" xfId="277" xr:uid="{EB7D1FE7-DDCC-43DD-8293-B92786F035C7}"/>
    <cellStyle name="Calculation 4 14 2" xfId="278" xr:uid="{18520416-A328-4EA0-87E9-616BE1521DE1}"/>
    <cellStyle name="Calculation 4 15" xfId="279" xr:uid="{B73A7258-AE06-4F0B-8520-A18307C0C1FA}"/>
    <cellStyle name="Calculation 4 15 2" xfId="280" xr:uid="{54F02CEE-F550-46EF-A9CB-1D3B005D4121}"/>
    <cellStyle name="Calculation 4 16" xfId="281" xr:uid="{FEB15F4D-964E-4FE5-9ED4-F97D85E49A5A}"/>
    <cellStyle name="Calculation 4 16 2" xfId="282" xr:uid="{A31A7177-101C-4723-BC7D-081F2DCA1768}"/>
    <cellStyle name="Calculation 4 17" xfId="283" xr:uid="{E0CA8FF8-CDB6-4F97-A0EE-73CEC3E6258B}"/>
    <cellStyle name="Calculation 4 17 2" xfId="284" xr:uid="{81694A45-8F14-4BE7-AB60-69BD2895C30D}"/>
    <cellStyle name="Calculation 4 18" xfId="285" xr:uid="{60B93C3A-89DF-4B38-ADA7-BE0D0F848EA2}"/>
    <cellStyle name="Calculation 4 18 2" xfId="286" xr:uid="{4DAEE412-4B17-4379-AAE2-1C795657308A}"/>
    <cellStyle name="Calculation 4 19" xfId="287" xr:uid="{8FAC0173-1C14-41E7-98CC-ACC42AB6FCBC}"/>
    <cellStyle name="Calculation 4 19 2" xfId="288" xr:uid="{93132E4E-85FE-498F-AF12-C8F475AE4395}"/>
    <cellStyle name="Calculation 4 2" xfId="289" xr:uid="{C7D4A807-6EEF-42F7-AAA1-3D79081D28D3}"/>
    <cellStyle name="Calculation 4 2 2" xfId="290" xr:uid="{7E3B118C-3412-48BC-9442-656FB9D4FB79}"/>
    <cellStyle name="Calculation 4 20" xfId="291" xr:uid="{D2AF64A5-C1E9-42A4-B1A1-F9EFFC8D8AA6}"/>
    <cellStyle name="Calculation 4 20 2" xfId="292" xr:uid="{10465C06-6844-4790-8AD0-BFF36233B9AD}"/>
    <cellStyle name="Calculation 4 21" xfId="293" xr:uid="{91D47C7C-7AB7-418A-925B-DF879B8150D3}"/>
    <cellStyle name="Calculation 4 21 2" xfId="294" xr:uid="{07285321-F856-46DD-AC02-63595FF95CC2}"/>
    <cellStyle name="Calculation 4 22" xfId="295" xr:uid="{E8D535AE-4FDE-42C7-BD7A-8BBA64107F38}"/>
    <cellStyle name="Calculation 4 22 2" xfId="296" xr:uid="{60B54C2E-C753-4962-9472-A1C175E97082}"/>
    <cellStyle name="Calculation 4 23" xfId="297" xr:uid="{A48E9368-7DCB-4BC2-AC56-DAE29270FF62}"/>
    <cellStyle name="Calculation 4 3" xfId="298" xr:uid="{37BB5B61-E768-4B71-87FA-9F953D12EC9D}"/>
    <cellStyle name="Calculation 4 3 2" xfId="299" xr:uid="{466651C3-BDF7-4FD3-A1F5-081FB0DA2462}"/>
    <cellStyle name="Calculation 4 4" xfId="300" xr:uid="{02C196B7-F990-4375-8840-255F4108C91A}"/>
    <cellStyle name="Calculation 4 4 2" xfId="301" xr:uid="{B1A33255-1319-42E1-8AC7-5FA9628CC893}"/>
    <cellStyle name="Calculation 4 5" xfId="302" xr:uid="{F0FDC84A-6912-4BBB-9C6A-8799E6803534}"/>
    <cellStyle name="Calculation 4 5 2" xfId="303" xr:uid="{D9E43AAF-9215-4139-9004-E6CE2C9669AA}"/>
    <cellStyle name="Calculation 4 6" xfId="304" xr:uid="{86B0D737-E974-4602-94E9-3B385FFCAF21}"/>
    <cellStyle name="Calculation 4 6 2" xfId="305" xr:uid="{9D8ED4DE-2814-4256-AA7F-0EA922E28973}"/>
    <cellStyle name="Calculation 4 7" xfId="306" xr:uid="{0F49EE1B-E9E4-4749-9EEF-6A7229B575A3}"/>
    <cellStyle name="Calculation 4 7 2" xfId="307" xr:uid="{71482E48-C16E-4759-9CD0-81DE3BE79CA7}"/>
    <cellStyle name="Calculation 4 8" xfId="308" xr:uid="{A8BF9CD8-3F3D-4F50-BF85-2B19526132D2}"/>
    <cellStyle name="Calculation 4 8 2" xfId="309" xr:uid="{57AE1A6E-F647-457D-A75C-420B8311D96F}"/>
    <cellStyle name="Calculation 4 9" xfId="310" xr:uid="{D1E25567-E1E7-4922-A0F6-FD61CABCF85A}"/>
    <cellStyle name="Calculation 4 9 2" xfId="311" xr:uid="{B1780FB9-498A-4FD1-B5E8-194F43EA6D68}"/>
    <cellStyle name="Calculation 5" xfId="312" xr:uid="{2D94916B-3762-460E-A9FA-0E53806B8980}"/>
    <cellStyle name="Calculation 5 10" xfId="313" xr:uid="{6D792B66-9A5C-482A-A25B-ACF6D9001BD5}"/>
    <cellStyle name="Calculation 5 10 2" xfId="314" xr:uid="{54A1D5B7-2301-47B6-AA97-E0E3AAD3490C}"/>
    <cellStyle name="Calculation 5 11" xfId="315" xr:uid="{5838DD34-D84A-4BF4-A92E-7B9CFFCFAD4A}"/>
    <cellStyle name="Calculation 5 11 2" xfId="316" xr:uid="{1BFB2808-0DA9-471B-910C-CBF886665BAB}"/>
    <cellStyle name="Calculation 5 12" xfId="317" xr:uid="{42338D12-D1B8-4703-AA78-25EC36DC8CEF}"/>
    <cellStyle name="Calculation 5 12 2" xfId="318" xr:uid="{6592E340-5B22-4AAF-BC35-10F7F2F17B7B}"/>
    <cellStyle name="Calculation 5 13" xfId="319" xr:uid="{CF372B1F-106A-412C-A3B0-653A340FB7C3}"/>
    <cellStyle name="Calculation 5 13 2" xfId="320" xr:uid="{B5A68230-B917-4568-8D4E-F2643C535E8E}"/>
    <cellStyle name="Calculation 5 14" xfId="321" xr:uid="{93589A65-E857-4B47-B518-A2C1FD7C64F7}"/>
    <cellStyle name="Calculation 5 14 2" xfId="322" xr:uid="{2991F273-FDB1-46B0-A7C6-11DC9CE7A175}"/>
    <cellStyle name="Calculation 5 15" xfId="323" xr:uid="{EC9458DC-ADB9-4D24-BDEC-DC0E822E9A7C}"/>
    <cellStyle name="Calculation 5 15 2" xfId="324" xr:uid="{20F077A7-9139-467D-B8CA-FEB52B703BBE}"/>
    <cellStyle name="Calculation 5 16" xfId="325" xr:uid="{87330877-0DAF-49BA-A5B7-17F689CA3B30}"/>
    <cellStyle name="Calculation 5 16 2" xfId="326" xr:uid="{621A4442-B959-4D42-B7D8-F985587D6F61}"/>
    <cellStyle name="Calculation 5 17" xfId="327" xr:uid="{DEA036E3-0181-4269-8D98-6DBE131DB201}"/>
    <cellStyle name="Calculation 5 17 2" xfId="328" xr:uid="{FEE3C48A-124D-448F-B5F8-3091FBC315C9}"/>
    <cellStyle name="Calculation 5 18" xfId="329" xr:uid="{0A2CB9DA-5DBF-426A-93C2-28219B966741}"/>
    <cellStyle name="Calculation 5 18 2" xfId="330" xr:uid="{A9C7CDA3-91A7-4951-9CDF-614FD8D5BDC8}"/>
    <cellStyle name="Calculation 5 19" xfId="331" xr:uid="{0DB1EDFF-CE34-40A2-B57E-F8F3864EE170}"/>
    <cellStyle name="Calculation 5 19 2" xfId="332" xr:uid="{9E74A37F-348D-43D8-BCC4-C52F16BA38FC}"/>
    <cellStyle name="Calculation 5 2" xfId="333" xr:uid="{29A1029C-A445-416F-917C-31A37767A7F9}"/>
    <cellStyle name="Calculation 5 2 2" xfId="334" xr:uid="{7DBD646F-D10B-49E1-B3BB-6383C82CB306}"/>
    <cellStyle name="Calculation 5 20" xfId="335" xr:uid="{6B2A9696-3E46-4792-9831-02FF71621132}"/>
    <cellStyle name="Calculation 5 20 2" xfId="336" xr:uid="{DC9D090D-C0A0-4A60-B57C-501A3D679CAB}"/>
    <cellStyle name="Calculation 5 21" xfId="337" xr:uid="{F654C311-BC0F-4090-987B-ACAA8BB15847}"/>
    <cellStyle name="Calculation 5 21 2" xfId="338" xr:uid="{58F058A1-6A4D-4898-8983-310F08B6B9D0}"/>
    <cellStyle name="Calculation 5 22" xfId="339" xr:uid="{34E6B5F6-CCB4-4140-9833-977F3DF9C4F3}"/>
    <cellStyle name="Calculation 5 22 2" xfId="340" xr:uid="{580924AB-ED94-4106-9C86-2D5A44D0C10D}"/>
    <cellStyle name="Calculation 5 23" xfId="341" xr:uid="{15EF2C85-AC25-4C85-9DED-91EEEDB4AEB9}"/>
    <cellStyle name="Calculation 5 3" xfId="342" xr:uid="{61D8A43D-A6AF-4362-9CE0-652AD7BF1A9F}"/>
    <cellStyle name="Calculation 5 3 2" xfId="343" xr:uid="{35181C12-CD0B-4597-946A-C93157B8071D}"/>
    <cellStyle name="Calculation 5 4" xfId="344" xr:uid="{A358F1DC-365F-43C5-8CFD-D15012782229}"/>
    <cellStyle name="Calculation 5 4 2" xfId="345" xr:uid="{99680E4C-5542-4D66-B3B9-431D6E92FC86}"/>
    <cellStyle name="Calculation 5 5" xfId="346" xr:uid="{B7A5E176-4B81-4CF8-997A-32D5A80F83CF}"/>
    <cellStyle name="Calculation 5 5 2" xfId="347" xr:uid="{745C5593-7DC4-4270-AF04-7645A55CD675}"/>
    <cellStyle name="Calculation 5 6" xfId="348" xr:uid="{A3748681-4E5E-4AEF-BC25-162317540647}"/>
    <cellStyle name="Calculation 5 6 2" xfId="349" xr:uid="{302E2121-F609-4B26-B292-11CD22D03176}"/>
    <cellStyle name="Calculation 5 7" xfId="350" xr:uid="{203BCA95-6891-47B6-B641-BD7A18316A2C}"/>
    <cellStyle name="Calculation 5 7 2" xfId="351" xr:uid="{B9AE9381-0B96-49D8-97D1-0430B7120E9B}"/>
    <cellStyle name="Calculation 5 8" xfId="352" xr:uid="{460FA8F2-AA3D-49E4-868F-D5648A7DFA6A}"/>
    <cellStyle name="Calculation 5 8 2" xfId="353" xr:uid="{CC45A6E1-0224-4251-B24F-02D002BD4896}"/>
    <cellStyle name="Calculation 5 9" xfId="354" xr:uid="{36673877-B994-4C96-912B-7D4F72569009}"/>
    <cellStyle name="Calculation 5 9 2" xfId="355" xr:uid="{EFEEAE69-6884-4F21-8654-3794F55BF9D0}"/>
    <cellStyle name="Calculation 6" xfId="356" xr:uid="{20140B7A-DCBB-4EF9-85C5-3960305A11D4}"/>
    <cellStyle name="Calculation 6 10" xfId="357" xr:uid="{FACBF3FD-8260-4B15-8A11-E7EB1F0EC1EF}"/>
    <cellStyle name="Calculation 6 10 2" xfId="358" xr:uid="{64995F89-35C8-461F-A031-60732D15DA91}"/>
    <cellStyle name="Calculation 6 11" xfId="359" xr:uid="{3632E8DC-D90F-4859-BC2D-6872E56B845F}"/>
    <cellStyle name="Calculation 6 11 2" xfId="360" xr:uid="{54351FA9-3FE7-4A2F-9CCF-8D35E3C46461}"/>
    <cellStyle name="Calculation 6 12" xfId="361" xr:uid="{0D2DE793-C9EC-487A-B901-750B217AAB76}"/>
    <cellStyle name="Calculation 6 12 2" xfId="362" xr:uid="{48F2421D-DC5C-4F4E-B93F-6B2CEC1703F5}"/>
    <cellStyle name="Calculation 6 13" xfId="363" xr:uid="{1484176B-4B6F-4A15-846C-0E0F94ECCD29}"/>
    <cellStyle name="Calculation 6 13 2" xfId="364" xr:uid="{197FBB62-60CA-4436-A657-C67CCB0DE878}"/>
    <cellStyle name="Calculation 6 14" xfId="365" xr:uid="{C517099E-7A8E-46B6-B7C7-36F7A684A617}"/>
    <cellStyle name="Calculation 6 14 2" xfId="366" xr:uid="{1E08ADA3-F27F-4A92-B8C1-53B646373905}"/>
    <cellStyle name="Calculation 6 15" xfId="367" xr:uid="{5F9CAF82-7FBD-4D65-8ECD-90988A5DB26B}"/>
    <cellStyle name="Calculation 6 15 2" xfId="368" xr:uid="{7A5E8FD7-D060-4A07-A729-0A1E5AAD525D}"/>
    <cellStyle name="Calculation 6 16" xfId="369" xr:uid="{9E2F8E2B-7BBD-4E60-84CF-7CA0E1C34572}"/>
    <cellStyle name="Calculation 6 16 2" xfId="370" xr:uid="{B18ED9BD-5623-45AE-B3B0-EEEFDE008974}"/>
    <cellStyle name="Calculation 6 17" xfId="371" xr:uid="{DD134F18-5E5C-432C-8618-5BE18CE2E9F7}"/>
    <cellStyle name="Calculation 6 17 2" xfId="372" xr:uid="{FF3DFAE9-D46B-45CA-8D72-4654404D1F4D}"/>
    <cellStyle name="Calculation 6 18" xfId="373" xr:uid="{AA1C874D-65B2-4F9C-B537-727EF45B70E8}"/>
    <cellStyle name="Calculation 6 18 2" xfId="374" xr:uid="{F5855BD9-AC7A-4BE8-B19D-2253CFE48F15}"/>
    <cellStyle name="Calculation 6 19" xfId="375" xr:uid="{63C19AA1-D081-4448-9C51-366D06D267B3}"/>
    <cellStyle name="Calculation 6 19 2" xfId="376" xr:uid="{6E1E2973-98F7-4E95-B74E-7C1862F394F0}"/>
    <cellStyle name="Calculation 6 2" xfId="377" xr:uid="{644EEF93-6B13-4451-A708-062E2B17F374}"/>
    <cellStyle name="Calculation 6 2 2" xfId="378" xr:uid="{274C7DAE-CBD0-48E5-89F5-A60F63447282}"/>
    <cellStyle name="Calculation 6 20" xfId="379" xr:uid="{28904E62-0AFA-4FEE-9864-439AF1E65176}"/>
    <cellStyle name="Calculation 6 20 2" xfId="380" xr:uid="{078F4D8C-E543-4F1B-A647-10C10E70BF7B}"/>
    <cellStyle name="Calculation 6 21" xfId="381" xr:uid="{0E9557B5-454B-46FD-A2EE-D566AE771FA9}"/>
    <cellStyle name="Calculation 6 21 2" xfId="382" xr:uid="{F2F416D5-E6E3-4D49-9392-2001BCBFEBA2}"/>
    <cellStyle name="Calculation 6 22" xfId="383" xr:uid="{22B89F0E-A350-455F-90A4-21F0F23309B4}"/>
    <cellStyle name="Calculation 6 22 2" xfId="384" xr:uid="{515E5273-4B6B-41CB-A8B7-5541AFBE294C}"/>
    <cellStyle name="Calculation 6 23" xfId="385" xr:uid="{069129CD-8219-4884-94AD-22FC6CA710E4}"/>
    <cellStyle name="Calculation 6 3" xfId="386" xr:uid="{63061D13-7D6C-4F80-B96D-F00C3E3AF0FD}"/>
    <cellStyle name="Calculation 6 3 2" xfId="387" xr:uid="{5AA561DF-3EFD-45BE-84B5-A1A81449DB4B}"/>
    <cellStyle name="Calculation 6 4" xfId="388" xr:uid="{A5856CD5-FD57-4ADB-BEAF-130FF17C972A}"/>
    <cellStyle name="Calculation 6 4 2" xfId="389" xr:uid="{ABF45BA4-DA21-443D-83C1-50C4C7512892}"/>
    <cellStyle name="Calculation 6 5" xfId="390" xr:uid="{EE117C7F-AB85-41EA-9F29-DEBB20562CD6}"/>
    <cellStyle name="Calculation 6 5 2" xfId="391" xr:uid="{EE69D0C0-16A9-47D9-B382-CDCE1880C55A}"/>
    <cellStyle name="Calculation 6 6" xfId="392" xr:uid="{A39CFA92-5192-4032-A3FB-95581D84FBF0}"/>
    <cellStyle name="Calculation 6 6 2" xfId="393" xr:uid="{6A0B1217-5869-4296-BB78-8FEAE87212F4}"/>
    <cellStyle name="Calculation 6 7" xfId="394" xr:uid="{514CCEA0-774E-4BA6-838E-C4B84BE01D80}"/>
    <cellStyle name="Calculation 6 7 2" xfId="395" xr:uid="{962E04FB-B829-4392-BEB2-5337B79106EB}"/>
    <cellStyle name="Calculation 6 8" xfId="396" xr:uid="{F708008E-F068-41BA-A2A3-DA0A6DD19105}"/>
    <cellStyle name="Calculation 6 8 2" xfId="397" xr:uid="{6A56BDE0-FCB9-46C5-8506-3FBC47E693C9}"/>
    <cellStyle name="Calculation 6 9" xfId="398" xr:uid="{D0A720D6-FD7E-48EE-AFA2-158E7A25DFE1}"/>
    <cellStyle name="Calculation 6 9 2" xfId="399" xr:uid="{ADCBB3E7-DC70-4213-98C5-ECD8C4F7BA1A}"/>
    <cellStyle name="Calculation 7" xfId="400" xr:uid="{BC0FBABF-E230-406E-835E-87A059A97527}"/>
    <cellStyle name="Calculation 7 10" xfId="401" xr:uid="{4099C22D-ECE9-476E-8461-79A7469B9D14}"/>
    <cellStyle name="Calculation 7 10 2" xfId="402" xr:uid="{E087A710-5070-41A4-AEB9-026F006CC5FE}"/>
    <cellStyle name="Calculation 7 11" xfId="403" xr:uid="{A976DB14-06C9-46C2-B635-CCA374CB5D05}"/>
    <cellStyle name="Calculation 7 11 2" xfId="404" xr:uid="{D3E72748-5E9C-41E2-87BC-9BF1577AD05B}"/>
    <cellStyle name="Calculation 7 12" xfId="405" xr:uid="{8015D32B-2856-4549-B896-6AE488107F87}"/>
    <cellStyle name="Calculation 7 12 2" xfId="406" xr:uid="{83462F0F-987C-49B2-A9CD-26437F946C96}"/>
    <cellStyle name="Calculation 7 13" xfId="407" xr:uid="{24026C0C-0096-4D42-A268-CB911B51EF6D}"/>
    <cellStyle name="Calculation 7 13 2" xfId="408" xr:uid="{0467AC06-BB46-4C88-82CE-84472D1361E5}"/>
    <cellStyle name="Calculation 7 14" xfId="409" xr:uid="{8A248DED-3C46-4A8B-907C-7226CEF7508E}"/>
    <cellStyle name="Calculation 7 14 2" xfId="410" xr:uid="{17B8A0B8-72A3-46B7-B395-39C515E6BA43}"/>
    <cellStyle name="Calculation 7 15" xfId="411" xr:uid="{26E08D50-0983-4BA3-88E9-445EEA76287F}"/>
    <cellStyle name="Calculation 7 15 2" xfId="412" xr:uid="{C2321843-647C-471F-B40F-602A72F6D992}"/>
    <cellStyle name="Calculation 7 16" xfId="413" xr:uid="{AFD3F0C2-4CBD-4080-8CF1-9AD85B2A179F}"/>
    <cellStyle name="Calculation 7 16 2" xfId="414" xr:uid="{0A3FE946-3450-45D1-BE73-B38E3E777EC4}"/>
    <cellStyle name="Calculation 7 17" xfId="415" xr:uid="{47808FC6-A14D-474D-9999-24B934F13808}"/>
    <cellStyle name="Calculation 7 17 2" xfId="416" xr:uid="{463DB6D6-EFA2-479C-9E89-BAF6841EF1E4}"/>
    <cellStyle name="Calculation 7 18" xfId="417" xr:uid="{1F0E34BA-9793-4A35-93B7-F40B2A1DCE57}"/>
    <cellStyle name="Calculation 7 18 2" xfId="418" xr:uid="{C897FD42-75CD-4EC4-9DB8-605191E58BDC}"/>
    <cellStyle name="Calculation 7 19" xfId="419" xr:uid="{909ECAA8-FAC7-455C-9F12-EDBBB5F9FFB1}"/>
    <cellStyle name="Calculation 7 19 2" xfId="420" xr:uid="{D881B642-5B3D-4083-A07B-D6C18A4EDFA4}"/>
    <cellStyle name="Calculation 7 2" xfId="421" xr:uid="{74E38851-2C79-4FEB-9A12-8EE82C1C6A23}"/>
    <cellStyle name="Calculation 7 2 2" xfId="422" xr:uid="{040C40C0-7B48-42F8-A822-B6751C3387B6}"/>
    <cellStyle name="Calculation 7 20" xfId="423" xr:uid="{95F94B32-1CDE-4D53-9D89-C7E942E723F5}"/>
    <cellStyle name="Calculation 7 20 2" xfId="424" xr:uid="{B1E31931-038F-4323-8D05-55B3B5A23CE6}"/>
    <cellStyle name="Calculation 7 21" xfId="425" xr:uid="{192CE78C-3B5B-49AE-95B1-3472A0A79F88}"/>
    <cellStyle name="Calculation 7 21 2" xfId="426" xr:uid="{5C8E04DE-A620-4B01-B83A-52689AFD1E51}"/>
    <cellStyle name="Calculation 7 22" xfId="427" xr:uid="{E373A27A-A36C-4A62-AF95-DC9EC7398AC9}"/>
    <cellStyle name="Calculation 7 22 2" xfId="428" xr:uid="{C48AEDCB-228D-4FC0-A000-6FC1558A0145}"/>
    <cellStyle name="Calculation 7 23" xfId="429" xr:uid="{A0752B25-1B2B-47DF-95BC-429152F75A88}"/>
    <cellStyle name="Calculation 7 3" xfId="430" xr:uid="{72E33614-0743-499B-BA15-796BB87F8C25}"/>
    <cellStyle name="Calculation 7 3 2" xfId="431" xr:uid="{7827E98B-CF80-4DC3-9004-A9CFF87DD754}"/>
    <cellStyle name="Calculation 7 4" xfId="432" xr:uid="{38C5320D-A6DC-481D-98FF-2CAA242AF44D}"/>
    <cellStyle name="Calculation 7 4 2" xfId="433" xr:uid="{F735D56C-5E1E-405A-A5B9-40A0ED0E499F}"/>
    <cellStyle name="Calculation 7 5" xfId="434" xr:uid="{27C8C02F-4F6D-49C4-9A04-3D7AB2D9930E}"/>
    <cellStyle name="Calculation 7 5 2" xfId="435" xr:uid="{FE2B22A3-77EF-4B11-9DE7-65E15F76D472}"/>
    <cellStyle name="Calculation 7 6" xfId="436" xr:uid="{E63CA000-5B2D-4D1C-90FA-BB884A48CFA8}"/>
    <cellStyle name="Calculation 7 6 2" xfId="437" xr:uid="{5768D617-4F3C-4F73-9016-4D07F7FBDC0D}"/>
    <cellStyle name="Calculation 7 7" xfId="438" xr:uid="{35FB26AE-C66D-424E-AC4F-AFD9F53C98C0}"/>
    <cellStyle name="Calculation 7 7 2" xfId="439" xr:uid="{353B36A3-B989-4FD2-B620-0C45F530102B}"/>
    <cellStyle name="Calculation 7 8" xfId="440" xr:uid="{6B0ADD60-D7AA-475D-8C19-F3DBD5916E42}"/>
    <cellStyle name="Calculation 7 8 2" xfId="441" xr:uid="{8C084DF0-6A6F-45F9-8118-1370EB3B90FB}"/>
    <cellStyle name="Calculation 7 9" xfId="442" xr:uid="{4906F938-67C2-4205-AFA9-EDC43726A43E}"/>
    <cellStyle name="Calculation 7 9 2" xfId="443" xr:uid="{89CD2412-7BE6-4C1B-AA15-1B3FD58F890B}"/>
    <cellStyle name="Calculation 8" xfId="444" xr:uid="{74A2F2FE-3082-4128-AF98-3AA349F81DA8}"/>
    <cellStyle name="Calculation 8 10" xfId="445" xr:uid="{DEEC9DF4-0599-4703-AA92-336FA9427E90}"/>
    <cellStyle name="Calculation 8 10 2" xfId="446" xr:uid="{6E8ABA69-382C-490D-9543-55E96159B54A}"/>
    <cellStyle name="Calculation 8 11" xfId="447" xr:uid="{FACBBAE4-0B34-475B-B22E-1025F9B6814A}"/>
    <cellStyle name="Calculation 8 11 2" xfId="448" xr:uid="{8795AB30-A51B-4FCD-9803-36C9D6663CF6}"/>
    <cellStyle name="Calculation 8 12" xfId="449" xr:uid="{447F6635-CBE7-4970-9F7C-9E5CABBB7754}"/>
    <cellStyle name="Calculation 8 12 2" xfId="450" xr:uid="{C4A74C2C-3F20-47F5-A84A-A049A6B0794C}"/>
    <cellStyle name="Calculation 8 13" xfId="451" xr:uid="{6F4083B8-A7B0-43F1-93F0-997E9CFAAF1B}"/>
    <cellStyle name="Calculation 8 13 2" xfId="452" xr:uid="{FAF767B9-78A3-47C9-99E1-6F7EB1815664}"/>
    <cellStyle name="Calculation 8 14" xfId="453" xr:uid="{810581A6-E51E-4BA5-94F2-08AFC25B035A}"/>
    <cellStyle name="Calculation 8 14 2" xfId="454" xr:uid="{36AECB0A-119B-434F-9A29-D364E86A377D}"/>
    <cellStyle name="Calculation 8 15" xfId="455" xr:uid="{AAF06797-0C6A-4C83-A105-0E47F667E0EC}"/>
    <cellStyle name="Calculation 8 15 2" xfId="456" xr:uid="{56956BAA-223C-48BA-9C1B-732113371F61}"/>
    <cellStyle name="Calculation 8 16" xfId="457" xr:uid="{375FEED7-DDDB-483F-8977-978D525F128D}"/>
    <cellStyle name="Calculation 8 16 2" xfId="458" xr:uid="{8A406FBF-F13A-43F8-8FA6-2D0E711DE5F1}"/>
    <cellStyle name="Calculation 8 17" xfId="459" xr:uid="{2205583C-C31D-46DA-BEB9-607C65934789}"/>
    <cellStyle name="Calculation 8 17 2" xfId="460" xr:uid="{F93BF1D3-545A-4876-AFD4-D1965BD61B59}"/>
    <cellStyle name="Calculation 8 18" xfId="461" xr:uid="{F520C201-98E3-4838-99BC-2086D22AACD8}"/>
    <cellStyle name="Calculation 8 18 2" xfId="462" xr:uid="{FDB07778-E8C1-4B47-8B2A-2D211551CFE4}"/>
    <cellStyle name="Calculation 8 19" xfId="463" xr:uid="{89444E3A-AA80-40AD-9030-1F3E1E13756B}"/>
    <cellStyle name="Calculation 8 19 2" xfId="464" xr:uid="{3F67434C-585F-4AB2-B527-9C6EC520829B}"/>
    <cellStyle name="Calculation 8 2" xfId="465" xr:uid="{57498D5B-01FD-4082-8929-285DBE63FF49}"/>
    <cellStyle name="Calculation 8 2 2" xfId="466" xr:uid="{973FB279-320C-49D4-9824-762DAE6375D4}"/>
    <cellStyle name="Calculation 8 20" xfId="467" xr:uid="{82FF695C-8DED-4B96-A66E-66F37442D4D0}"/>
    <cellStyle name="Calculation 8 20 2" xfId="468" xr:uid="{67B96985-C4FF-4E20-A7DD-4368299B9038}"/>
    <cellStyle name="Calculation 8 21" xfId="469" xr:uid="{D312A93A-CA38-4EDE-A339-A5F730FACF48}"/>
    <cellStyle name="Calculation 8 21 2" xfId="470" xr:uid="{E29E6A1F-480D-4156-950E-41689F21EB65}"/>
    <cellStyle name="Calculation 8 22" xfId="471" xr:uid="{3C7BF5EA-94AC-47C3-B2F4-61A70C7E1AD8}"/>
    <cellStyle name="Calculation 8 22 2" xfId="472" xr:uid="{02771A23-9E3F-4CF4-9373-86FC4A3E55F2}"/>
    <cellStyle name="Calculation 8 23" xfId="473" xr:uid="{CA4173C5-E2C7-44F3-BDDD-5C210D5CF67E}"/>
    <cellStyle name="Calculation 8 3" xfId="474" xr:uid="{70617EB2-51B0-4800-A23D-140E646F045B}"/>
    <cellStyle name="Calculation 8 3 2" xfId="475" xr:uid="{1341D899-F987-4109-A42C-46461C4EFDC8}"/>
    <cellStyle name="Calculation 8 4" xfId="476" xr:uid="{4AD9A99E-C5DC-4B22-B9F5-FD67AF495B67}"/>
    <cellStyle name="Calculation 8 4 2" xfId="477" xr:uid="{9EF46CD5-738F-4248-BBD6-FCF3C1BDB384}"/>
    <cellStyle name="Calculation 8 5" xfId="478" xr:uid="{E0B405B5-5187-4BF8-A6BD-0E904CED75FD}"/>
    <cellStyle name="Calculation 8 5 2" xfId="479" xr:uid="{F70F0257-3693-49E2-97FE-DC00DAD84E42}"/>
    <cellStyle name="Calculation 8 6" xfId="480" xr:uid="{0A01B399-3116-4FA3-880E-FA0CDE0D12F3}"/>
    <cellStyle name="Calculation 8 6 2" xfId="481" xr:uid="{C22C1E93-044E-498F-AA2D-4704EE7784E8}"/>
    <cellStyle name="Calculation 8 7" xfId="482" xr:uid="{7493535B-25F3-4335-819A-77385CC460C5}"/>
    <cellStyle name="Calculation 8 7 2" xfId="483" xr:uid="{E76AD172-A231-4B2A-A978-69F05D461833}"/>
    <cellStyle name="Calculation 8 8" xfId="484" xr:uid="{0A1C0486-9823-487B-8B6F-CD58C691A1D5}"/>
    <cellStyle name="Calculation 8 8 2" xfId="485" xr:uid="{9EBD05C6-836E-4644-AF76-22F1A48DE3B2}"/>
    <cellStyle name="Calculation 8 9" xfId="486" xr:uid="{97A4FC3D-619E-4752-9F1C-30B8BFF65B68}"/>
    <cellStyle name="Calculation 8 9 2" xfId="487" xr:uid="{3F2D043B-FD54-4544-ABB3-2A470174DEB3}"/>
    <cellStyle name="Calculation 9" xfId="488" xr:uid="{45DC1000-A003-4478-AFBF-13B3EC5E7A63}"/>
    <cellStyle name="Calculation 9 10" xfId="489" xr:uid="{63E35EDC-7DE8-47B9-934C-24A92BE93ADE}"/>
    <cellStyle name="Calculation 9 10 2" xfId="490" xr:uid="{53D984AA-D90B-4F59-B220-07571E6784B4}"/>
    <cellStyle name="Calculation 9 11" xfId="491" xr:uid="{380965B8-022F-48B7-9830-B44F45650D54}"/>
    <cellStyle name="Calculation 9 11 2" xfId="492" xr:uid="{F81E8D72-B4C8-4B65-8B2E-0BD9FD57DF89}"/>
    <cellStyle name="Calculation 9 12" xfId="493" xr:uid="{B4BE222A-5F0B-4649-8BFB-4050D8795D70}"/>
    <cellStyle name="Calculation 9 12 2" xfId="494" xr:uid="{C66B8FF6-3DF5-48B1-A134-7111E188D38D}"/>
    <cellStyle name="Calculation 9 13" xfId="495" xr:uid="{F76D0CEC-3AAF-4039-9724-F9EBE57680BE}"/>
    <cellStyle name="Calculation 9 13 2" xfId="496" xr:uid="{48A17BF8-FBAB-4E2A-BA41-77628E67FC10}"/>
    <cellStyle name="Calculation 9 14" xfId="497" xr:uid="{E2548273-04A5-415E-B0A9-C7A13BC35B25}"/>
    <cellStyle name="Calculation 9 14 2" xfId="498" xr:uid="{E41F51F7-8097-4D66-B86B-720A0E10D4F8}"/>
    <cellStyle name="Calculation 9 15" xfId="499" xr:uid="{67AF4BCE-CAB0-4F5A-9B17-8133EE808C71}"/>
    <cellStyle name="Calculation 9 15 2" xfId="500" xr:uid="{23EB03E4-243F-4BC0-BA85-AA98A2E14C41}"/>
    <cellStyle name="Calculation 9 16" xfId="501" xr:uid="{9C08CBB6-0BD8-45AE-8D0E-EAD39B6C5EBD}"/>
    <cellStyle name="Calculation 9 16 2" xfId="502" xr:uid="{7B5AD0F5-AD3F-416F-99C8-DAF0BD0278DE}"/>
    <cellStyle name="Calculation 9 17" xfId="503" xr:uid="{D3D14D6D-21C9-40B2-847C-90B41311D718}"/>
    <cellStyle name="Calculation 9 17 2" xfId="504" xr:uid="{81372DB1-6EB4-4756-9740-F3370E924DD8}"/>
    <cellStyle name="Calculation 9 18" xfId="505" xr:uid="{E64401B7-7278-4BBC-BE34-29228D44E58F}"/>
    <cellStyle name="Calculation 9 18 2" xfId="506" xr:uid="{DB384BC2-44DF-48A8-8476-40C2B426E893}"/>
    <cellStyle name="Calculation 9 19" xfId="507" xr:uid="{AB4636F6-A60D-47E3-ADE6-B30C720D274F}"/>
    <cellStyle name="Calculation 9 19 2" xfId="508" xr:uid="{D9361A11-4BA5-47A3-A99B-FB06F2C0681E}"/>
    <cellStyle name="Calculation 9 2" xfId="509" xr:uid="{191CF202-1945-4720-9137-7488F833A4D5}"/>
    <cellStyle name="Calculation 9 2 2" xfId="510" xr:uid="{F9C84EC0-5730-44D1-9E72-CA162CC83093}"/>
    <cellStyle name="Calculation 9 20" xfId="511" xr:uid="{7F830C85-DA89-4D0A-89B1-5402AC99CDD2}"/>
    <cellStyle name="Calculation 9 20 2" xfId="512" xr:uid="{AD407B99-91A6-41B3-998C-9240FC4155DB}"/>
    <cellStyle name="Calculation 9 21" xfId="513" xr:uid="{EBD67625-F1F7-4EAD-9A3C-93386999A6F3}"/>
    <cellStyle name="Calculation 9 21 2" xfId="514" xr:uid="{0981A9F5-7CA1-4D44-9503-A15D05F4FBDD}"/>
    <cellStyle name="Calculation 9 22" xfId="515" xr:uid="{A61209AD-52CB-4FA4-B8DA-35FB5DD54FDB}"/>
    <cellStyle name="Calculation 9 22 2" xfId="516" xr:uid="{43A7A49A-787F-4FE4-8280-883AD5CB014F}"/>
    <cellStyle name="Calculation 9 23" xfId="517" xr:uid="{861397A2-7F50-4390-AFA0-7081311A3390}"/>
    <cellStyle name="Calculation 9 3" xfId="518" xr:uid="{594F5109-07F9-4E31-8466-73A0CD2A9963}"/>
    <cellStyle name="Calculation 9 3 2" xfId="519" xr:uid="{1F1044F9-B663-4AE9-962B-957FEC363674}"/>
    <cellStyle name="Calculation 9 4" xfId="520" xr:uid="{DB07B9E9-9EB4-4F56-AED7-91E463A8EDFE}"/>
    <cellStyle name="Calculation 9 4 2" xfId="521" xr:uid="{C5A4F12D-62C6-48D3-9260-111149521D83}"/>
    <cellStyle name="Calculation 9 5" xfId="522" xr:uid="{8BBA94ED-C5FC-4448-9304-834FC6DCF10A}"/>
    <cellStyle name="Calculation 9 5 2" xfId="523" xr:uid="{0A6F09BB-EF87-4E0F-B534-303DA51D37DB}"/>
    <cellStyle name="Calculation 9 6" xfId="524" xr:uid="{811DA20D-92B6-41C4-A1C0-1FE64634AF85}"/>
    <cellStyle name="Calculation 9 6 2" xfId="525" xr:uid="{CC75FB9A-1525-4A53-8D1F-E970407D2DB4}"/>
    <cellStyle name="Calculation 9 7" xfId="526" xr:uid="{1925FCBA-B460-4760-8251-C5EEC27AB016}"/>
    <cellStyle name="Calculation 9 7 2" xfId="527" xr:uid="{8C8FC832-75B5-4366-BA4C-2AB89CDF42B3}"/>
    <cellStyle name="Calculation 9 8" xfId="528" xr:uid="{B8B6629A-9BD2-475E-8106-5F849E5AD9DD}"/>
    <cellStyle name="Calculation 9 8 2" xfId="529" xr:uid="{B221DEF7-FBA5-4B9B-B210-432CE2381F00}"/>
    <cellStyle name="Calculation 9 9" xfId="530" xr:uid="{D832253E-232D-41F9-BA7C-47684FB00816}"/>
    <cellStyle name="Calculation 9 9 2" xfId="531" xr:uid="{4CBB34CA-9E09-4A92-B2CA-C55A6E5DB2A0}"/>
    <cellStyle name="Celkem" xfId="19" builtinId="25" customBuiltin="1"/>
    <cellStyle name="Comma 13" xfId="532" xr:uid="{02D9CA48-7E1D-4AEA-805D-9ACBA2F96C2F}"/>
    <cellStyle name="Comma 13 2" xfId="533" xr:uid="{1E2D99AD-E918-4039-832C-F9E0EE64BCA4}"/>
    <cellStyle name="Comma 16" xfId="534" xr:uid="{58851770-B942-4573-A41A-DF4619BD0359}"/>
    <cellStyle name="Comma 16 2" xfId="2762" xr:uid="{0C9D3387-1687-4700-AFAB-9B6A38D05D48}"/>
    <cellStyle name="Comma 19" xfId="535" xr:uid="{E0694976-3C8E-416E-B749-7A1378AAF83D}"/>
    <cellStyle name="Comma 19 2" xfId="2757" xr:uid="{D75FC738-2496-4345-8FD3-169478050FDF}"/>
    <cellStyle name="Comma 2" xfId="536" xr:uid="{B7474DDF-B64B-4BDD-91A6-F38B28E77AE3}"/>
    <cellStyle name="Comma 2 2" xfId="537" xr:uid="{6F1EB2AA-ECD1-4E2C-9C0F-15DCD02DDF7E}"/>
    <cellStyle name="Comma 2 2 2" xfId="538" xr:uid="{26285DCA-3F5E-4F7B-B86F-466309E2E726}"/>
    <cellStyle name="Comma 2 2 2 2" xfId="539" xr:uid="{EBD503AA-D238-4FC7-BABE-349220DA8C80}"/>
    <cellStyle name="Comma 2 2 2 2 2" xfId="540" xr:uid="{F9C9EDB2-E2AA-42AD-9F80-B29A6B4B8E28}"/>
    <cellStyle name="Comma 2 2 2 2 2 2" xfId="2767" xr:uid="{0A994881-740F-48D2-ADDA-9B023C8CC58F}"/>
    <cellStyle name="Comma 2 2 2 2 3" xfId="2766" xr:uid="{B9A3C724-9899-4846-A2D3-679D3780D811}"/>
    <cellStyle name="Comma 2 2 2 3" xfId="541" xr:uid="{CB5BC0FE-FCD3-456F-AEF8-1988811ECD7E}"/>
    <cellStyle name="Comma 2 2 2 3 2" xfId="2768" xr:uid="{D1E2AF4D-4F71-42EB-93BD-18185C9BADE3}"/>
    <cellStyle name="Comma 2 2 2 4" xfId="2765" xr:uid="{8F367D96-3361-4D12-BC43-1594AD8FFDB5}"/>
    <cellStyle name="Comma 2 2 3" xfId="542" xr:uid="{649AC222-CD7D-4B51-B567-C19A703B5DC3}"/>
    <cellStyle name="Comma 2 2 3 2" xfId="543" xr:uid="{7111614A-83C3-42C0-AE87-0FE33433A88C}"/>
    <cellStyle name="Comma 2 2 3 2 2" xfId="2770" xr:uid="{D4D153AB-7595-48F0-82A9-691A9C8AA828}"/>
    <cellStyle name="Comma 2 2 3 3" xfId="2769" xr:uid="{DF56C59D-B152-4F78-B5CF-DD09B25A764E}"/>
    <cellStyle name="Comma 2 2 4" xfId="544" xr:uid="{8B084FBE-677C-453E-B42C-CAEB4B266C2B}"/>
    <cellStyle name="Comma 2 2 4 2" xfId="2771" xr:uid="{197E1970-93E4-428D-925E-817AB79C0977}"/>
    <cellStyle name="Comma 2 2 5" xfId="2764" xr:uid="{9981C67E-6DCC-4859-8CEE-5F1E04E6AC62}"/>
    <cellStyle name="Comma 2 3" xfId="545" xr:uid="{F36F0FA1-3710-463A-8A24-AD4197C51F1B}"/>
    <cellStyle name="Comma 2 3 2" xfId="546" xr:uid="{244BBC0B-EA74-40ED-B391-FB54F842CC59}"/>
    <cellStyle name="Comma 2 3 2 2" xfId="547" xr:uid="{557CF5F3-5443-4AA2-B75B-6B1B7D43ECF9}"/>
    <cellStyle name="Comma 2 3 2 2 2" xfId="2774" xr:uid="{61EE5758-9A06-49FD-AFE7-F6237350696C}"/>
    <cellStyle name="Comma 2 3 2 3" xfId="2773" xr:uid="{76C3E4D1-5512-40AC-9B0F-7C149C32EDE2}"/>
    <cellStyle name="Comma 2 3 3" xfId="2772" xr:uid="{B0E91E96-232F-47A2-8EBB-AD2F363BEB0F}"/>
    <cellStyle name="Comma 2 4" xfId="548" xr:uid="{EC7DE807-7035-435C-B25A-C74013CEAB1C}"/>
    <cellStyle name="Comma 2 4 2" xfId="549" xr:uid="{7FB72181-0F3F-45A3-A140-2983E1083E9C}"/>
    <cellStyle name="Comma 2 4 2 2" xfId="2776" xr:uid="{B51BF55D-26D4-4AA3-9FA9-D2FFDD3020E2}"/>
    <cellStyle name="Comma 2 4 3" xfId="2775" xr:uid="{E7A12534-B247-4C22-9575-E7B7A1FB6DDB}"/>
    <cellStyle name="Comma 2 5" xfId="550" xr:uid="{DD4A7925-3368-4371-AEA1-86F71F693415}"/>
    <cellStyle name="Comma 2 5 2" xfId="2777" xr:uid="{3E2266E6-2DA7-48A5-B0EF-4B0E09DCEE9D}"/>
    <cellStyle name="Comma 2 6" xfId="2763" xr:uid="{FAE10059-59A8-4145-9179-2D32CFDACA10}"/>
    <cellStyle name="Currency 2" xfId="551" xr:uid="{9E7702DD-7530-4D20-8327-3C1D2F162C4E}"/>
    <cellStyle name="Čárka" xfId="2" builtinId="3"/>
    <cellStyle name="Čárka 2" xfId="553" xr:uid="{B2319693-F5D2-44D4-9187-F110339D2E27}"/>
    <cellStyle name="Čárka 2 2" xfId="2758" xr:uid="{1472FD65-169E-4D11-B2FB-E5995E1B2F5E}"/>
    <cellStyle name="Čárka 2 2 2" xfId="2783" xr:uid="{C74CA4F6-EC48-40FF-AA8E-BC77B57C5427}"/>
    <cellStyle name="Čárka 2 3" xfId="2778" xr:uid="{98C5DFA8-C808-4C74-9D2B-D2FE2D3B38B7}"/>
    <cellStyle name="Čárka 3" xfId="2740" xr:uid="{410EA116-DF3B-4AF1-BEE6-D4B307DBE7DF}"/>
    <cellStyle name="Čárka 3 2" xfId="2782" xr:uid="{5B4E7C37-F4C0-4163-A5D6-7ED902629729}"/>
    <cellStyle name="Čárka 4" xfId="552" xr:uid="{B5B45EE8-A20D-48EF-A5E6-25821C832677}"/>
    <cellStyle name="Čárka 5" xfId="2760" xr:uid="{3DECD014-DB5D-4D7A-94DA-23FFA91DEC7D}"/>
    <cellStyle name="DateLong" xfId="554" xr:uid="{24D89B0A-F02D-4D7F-8021-AA9EAEC8B771}"/>
    <cellStyle name="DateShort" xfId="555" xr:uid="{C83E8B2F-854B-490D-97C7-4E944C3DEB18}"/>
    <cellStyle name="Dezimal 2" xfId="556" xr:uid="{4914A26F-5F9A-4E28-9A39-A85B6BAE67C3}"/>
    <cellStyle name="Dezimal 3" xfId="557" xr:uid="{AE230050-5529-4902-860A-5B3B2C08638D}"/>
    <cellStyle name="Euro" xfId="558" xr:uid="{FC2F89BD-13A2-4877-9E66-67B79D1631AF}"/>
    <cellStyle name="Excel Built-in Normal" xfId="559" xr:uid="{B76C2AB6-0A87-4320-B950-34C80BFBF3CF}"/>
    <cellStyle name="Explanatory Text" xfId="560" xr:uid="{F201054B-DD06-4989-B3F1-5A2406B0CC21}"/>
    <cellStyle name="Explanatory Text 2" xfId="561" xr:uid="{00500F71-63CE-468C-851C-2BAD79E7B2B9}"/>
    <cellStyle name="Factor" xfId="562" xr:uid="{745A4502-3D2F-43BE-BCCF-62FD9593E1E4}"/>
    <cellStyle name="Good" xfId="563" xr:uid="{24887EF4-42FD-4F65-AC94-7E109F285278}"/>
    <cellStyle name="Good 2" xfId="564" xr:uid="{317F3630-F930-4762-8C54-55B22D60BF2F}"/>
    <cellStyle name="Heading 1" xfId="565" xr:uid="{F1E8BFCA-C5C6-4EBF-B6C2-E09F1C5C3ED6}"/>
    <cellStyle name="Heading 1 2" xfId="566" xr:uid="{3C2E3E51-B11B-4116-9EF4-FA2B315EBFBE}"/>
    <cellStyle name="Heading 2" xfId="567" xr:uid="{CA81FD66-32EA-4136-A880-5E43CBE32719}"/>
    <cellStyle name="Heading 2 2" xfId="568" xr:uid="{4751DFDE-416B-4A02-A8B7-C8FC43AF87F3}"/>
    <cellStyle name="Heading 3" xfId="569" xr:uid="{AF42CC01-FD2B-4E74-BE69-281C04E681DC}"/>
    <cellStyle name="Heading 3 2" xfId="570" xr:uid="{96D286AB-8E87-4A67-8225-06FB4BB4C778}"/>
    <cellStyle name="Heading 4" xfId="571" xr:uid="{E77BF6EA-C1A8-459B-9D89-7EA5EE26AC25}"/>
    <cellStyle name="Heading 4 2" xfId="572" xr:uid="{A8825077-F899-4039-A3F2-9C0E0730C15E}"/>
    <cellStyle name="Hyperlink 2" xfId="573" xr:uid="{2507DE9C-FD88-4556-8130-C443B092EE43}"/>
    <cellStyle name="Check Cell" xfId="574" xr:uid="{BDEF5E6C-7337-46BC-BCAF-6F40F4A3913A}"/>
    <cellStyle name="Check Cell 2" xfId="575" xr:uid="{419533D6-F627-47CC-BDE0-930F12B092AC}"/>
    <cellStyle name="Input" xfId="576" xr:uid="{27BF2C3B-AD25-43B1-BCED-6673BE4DEFCB}"/>
    <cellStyle name="Input 10" xfId="577" xr:uid="{B9B24A2D-9B5B-42CF-B1B0-8C1693F41C1E}"/>
    <cellStyle name="Input 10 10" xfId="578" xr:uid="{E448405E-C26B-48B1-AFD8-9CD870ECFBC1}"/>
    <cellStyle name="Input 10 10 2" xfId="579" xr:uid="{7A49E32F-1737-424E-801F-73E26F169640}"/>
    <cellStyle name="Input 10 11" xfId="580" xr:uid="{6C21826F-D082-4BCE-8783-23954B027D68}"/>
    <cellStyle name="Input 10 11 2" xfId="581" xr:uid="{2BD5F721-2DD0-423C-87C7-089A382FB2C5}"/>
    <cellStyle name="Input 10 12" xfId="582" xr:uid="{5B2D481B-0E00-4359-8639-39A813CC1991}"/>
    <cellStyle name="Input 10 12 2" xfId="583" xr:uid="{6907815E-03F7-473E-8C82-26C0FBBB2398}"/>
    <cellStyle name="Input 10 13" xfId="584" xr:uid="{58AC2CB1-7C18-4B09-9E6D-A606B022AC75}"/>
    <cellStyle name="Input 10 13 2" xfId="585" xr:uid="{427EB850-34C6-473A-B10A-7B0FE0C2E28E}"/>
    <cellStyle name="Input 10 14" xfId="586" xr:uid="{1A88B46B-2F35-4A7E-9D30-422DE0DFD80E}"/>
    <cellStyle name="Input 10 14 2" xfId="587" xr:uid="{D87A0BA4-EF77-40DB-932F-B35026FDF7D2}"/>
    <cellStyle name="Input 10 15" xfId="588" xr:uid="{46C44C29-900D-4E17-A883-F7581275AED6}"/>
    <cellStyle name="Input 10 15 2" xfId="589" xr:uid="{10467E33-8232-4442-AED1-7A6D8AB7D2AB}"/>
    <cellStyle name="Input 10 16" xfId="590" xr:uid="{F0895182-92E4-4D5E-831B-3D0DDA8F4421}"/>
    <cellStyle name="Input 10 16 2" xfId="591" xr:uid="{C46E5B0C-71D5-4C6C-8369-04C2954DFBBA}"/>
    <cellStyle name="Input 10 17" xfId="592" xr:uid="{0B7A8B98-B801-4EF6-9E88-8DEC83C70632}"/>
    <cellStyle name="Input 10 17 2" xfId="593" xr:uid="{83A8C968-63F3-447A-8781-11D2D0BA3B0C}"/>
    <cellStyle name="Input 10 18" xfId="594" xr:uid="{9F7FBB2A-F367-4D01-956C-21D18B528E24}"/>
    <cellStyle name="Input 10 18 2" xfId="595" xr:uid="{5C106D6A-4B1D-411F-BD6F-A734769847C6}"/>
    <cellStyle name="Input 10 19" xfId="596" xr:uid="{AFB6920E-7ABF-4857-89E7-FB640EEB43FF}"/>
    <cellStyle name="Input 10 19 2" xfId="597" xr:uid="{470B1CBD-AD2F-4EC4-B7DF-813F1D6601FF}"/>
    <cellStyle name="Input 10 2" xfId="598" xr:uid="{F1BD09EE-FD50-43D8-BAEE-FFFC32FB4C54}"/>
    <cellStyle name="Input 10 2 2" xfId="599" xr:uid="{147341E4-279D-40FB-AD9B-42A6B2D861F9}"/>
    <cellStyle name="Input 10 20" xfId="600" xr:uid="{3D4394BF-5F8E-4786-845D-749D9E28421B}"/>
    <cellStyle name="Input 10 20 2" xfId="601" xr:uid="{A1B16950-FDB0-4176-A2A1-EE6DA14F1E71}"/>
    <cellStyle name="Input 10 21" xfId="602" xr:uid="{B0319F58-5135-45ED-8847-E392B94299A0}"/>
    <cellStyle name="Input 10 21 2" xfId="603" xr:uid="{3E7F5664-6EFE-4F50-BE32-AB6FEF585E04}"/>
    <cellStyle name="Input 10 22" xfId="604" xr:uid="{CD8B7E08-6C30-4E54-B82A-451BD4E55141}"/>
    <cellStyle name="Input 10 3" xfId="605" xr:uid="{A402810B-A230-4A07-B554-51E7B763A0BE}"/>
    <cellStyle name="Input 10 3 2" xfId="606" xr:uid="{454F2CCC-7DB6-475F-9A55-1C656BCF5EE6}"/>
    <cellStyle name="Input 10 4" xfId="607" xr:uid="{40F0AECC-E2D6-48D7-AE8A-EA2B529B3E07}"/>
    <cellStyle name="Input 10 4 2" xfId="608" xr:uid="{5C292EF8-5C1A-4F84-AD3B-41EC50EF1F38}"/>
    <cellStyle name="Input 10 5" xfId="609" xr:uid="{038451D0-850D-4078-8F6E-E78E8C6F56B9}"/>
    <cellStyle name="Input 10 5 2" xfId="610" xr:uid="{C1DE1089-B994-47A4-9360-9187B716D878}"/>
    <cellStyle name="Input 10 6" xfId="611" xr:uid="{7ED7FB0F-FAE6-47CB-8E5E-6C3BCEFCB44D}"/>
    <cellStyle name="Input 10 6 2" xfId="612" xr:uid="{29B07B3A-776C-454C-8CAE-95B7DFD56B19}"/>
    <cellStyle name="Input 10 7" xfId="613" xr:uid="{BC841B23-4313-4B25-93EF-626365CBC970}"/>
    <cellStyle name="Input 10 7 2" xfId="614" xr:uid="{B630A987-B267-420E-9BB3-8D4C9D13E139}"/>
    <cellStyle name="Input 10 8" xfId="615" xr:uid="{567DBB12-5BED-459C-8182-9B56919C8395}"/>
    <cellStyle name="Input 10 8 2" xfId="616" xr:uid="{8DA0892C-465F-440A-9FA2-4612B21B0356}"/>
    <cellStyle name="Input 10 9" xfId="617" xr:uid="{913A760D-C58C-4339-944D-FBAC4BFEEFA4}"/>
    <cellStyle name="Input 10 9 2" xfId="618" xr:uid="{17C6260D-1340-4F52-93AF-B7FD1694A747}"/>
    <cellStyle name="Input 11" xfId="619" xr:uid="{3B55BB85-2C0F-4C7A-B868-A3CBAF9485B0}"/>
    <cellStyle name="Input 11 2" xfId="620" xr:uid="{5532C8CA-6554-4246-A0B5-FFEBF86C92FD}"/>
    <cellStyle name="Input 12" xfId="621" xr:uid="{DA014FFE-F575-495D-B9ED-C0DC178CB3F5}"/>
    <cellStyle name="Input 12 2" xfId="622" xr:uid="{F4C6BEDF-C285-4F98-B2D7-3FD5C025398A}"/>
    <cellStyle name="Input 13" xfId="623" xr:uid="{251611E9-432D-49D4-8DD4-49D2F5CE4762}"/>
    <cellStyle name="Input 13 2" xfId="624" xr:uid="{C90CBCC1-AC6A-4686-8C86-FB8D8A517878}"/>
    <cellStyle name="Input 14" xfId="625" xr:uid="{94217AAE-CE2A-4DB5-BE0B-CB6DD4FF413C}"/>
    <cellStyle name="Input 14 2" xfId="626" xr:uid="{A2C3218D-8F58-45CF-A15F-D28344F793D1}"/>
    <cellStyle name="Input 15" xfId="627" xr:uid="{CBCC87D5-9B74-4A34-8955-C7E616BE1908}"/>
    <cellStyle name="Input 15 2" xfId="628" xr:uid="{4B0797C4-8448-466E-913B-25CE6B259DAC}"/>
    <cellStyle name="Input 16" xfId="629" xr:uid="{ACE836BC-A430-4C11-8FE9-41F8CB5D980A}"/>
    <cellStyle name="Input 16 2" xfId="630" xr:uid="{2F9D46D1-3AFA-4EDD-9A44-4C2BFF4F6F5D}"/>
    <cellStyle name="Input 17" xfId="631" xr:uid="{F53C1894-8D68-4014-B1B3-049328EA9D8B}"/>
    <cellStyle name="Input 17 2" xfId="632" xr:uid="{EA56CFD9-5713-4355-8356-1DEC3D83BB95}"/>
    <cellStyle name="Input 18" xfId="633" xr:uid="{6B94A6B3-52F0-409F-838A-E2CA9557A50E}"/>
    <cellStyle name="Input 18 2" xfId="634" xr:uid="{D8F3CAF1-F5CD-4120-A043-58532146863D}"/>
    <cellStyle name="Input 19" xfId="635" xr:uid="{AEC1DA96-A35D-4D60-AA7D-80CDCA7AA479}"/>
    <cellStyle name="Input 19 2" xfId="636" xr:uid="{9807C151-2D59-4444-B448-FB7AC5001F20}"/>
    <cellStyle name="Input 2" xfId="637" xr:uid="{FF05B5B8-B64B-4B89-8144-E0240F934474}"/>
    <cellStyle name="Input 2 10" xfId="638" xr:uid="{69DD7194-E903-45DA-B5E0-5485FB553892}"/>
    <cellStyle name="Input 2 10 2" xfId="639" xr:uid="{7EA552DE-F87F-4505-8F0E-BAD8E7A561C1}"/>
    <cellStyle name="Input 2 11" xfId="640" xr:uid="{ACC366B5-CFF5-42D5-BF4C-F5FE1560F29D}"/>
    <cellStyle name="Input 2 11 2" xfId="641" xr:uid="{646B72CC-1E8D-422E-86B8-F4560845DBDE}"/>
    <cellStyle name="Input 2 12" xfId="642" xr:uid="{685B1ABF-1019-4829-84F3-E79DE50CFA58}"/>
    <cellStyle name="Input 2 12 2" xfId="643" xr:uid="{C7C9378F-8EF1-4AFE-93E6-CD9CF4B45A9D}"/>
    <cellStyle name="Input 2 13" xfId="644" xr:uid="{0FB5D4BA-FEC2-4BA0-8FDB-36C0FAA50FC0}"/>
    <cellStyle name="Input 2 13 2" xfId="645" xr:uid="{56764633-A2D9-4232-BFD0-E060926FB0C9}"/>
    <cellStyle name="Input 2 14" xfId="646" xr:uid="{41ACCC81-6458-4415-8288-CEFAF8DB5829}"/>
    <cellStyle name="Input 2 14 2" xfId="647" xr:uid="{AC113D11-9065-4221-82B4-95AA82311C20}"/>
    <cellStyle name="Input 2 15" xfId="648" xr:uid="{42CC99F2-B5C5-4E74-994A-4B6D2D74E202}"/>
    <cellStyle name="Input 2 15 2" xfId="649" xr:uid="{5F5645DC-A91A-4B0E-97D4-79E023758E8E}"/>
    <cellStyle name="Input 2 16" xfId="650" xr:uid="{8AC8DD75-8366-48D3-AE8C-90F06BE80F03}"/>
    <cellStyle name="Input 2 16 2" xfId="651" xr:uid="{EA715B9C-ADF5-400B-976A-4A03271634AF}"/>
    <cellStyle name="Input 2 17" xfId="652" xr:uid="{5348EE72-D8B9-4365-BB71-3D433933C17A}"/>
    <cellStyle name="Input 2 17 2" xfId="653" xr:uid="{F5894B21-1EC5-4A32-BD76-6095B477D184}"/>
    <cellStyle name="Input 2 18" xfId="654" xr:uid="{A704F173-75DD-44DD-9A37-1312AB4F5BBC}"/>
    <cellStyle name="Input 2 18 2" xfId="655" xr:uid="{93A98151-9F65-4295-B9BB-68B721A02066}"/>
    <cellStyle name="Input 2 19" xfId="656" xr:uid="{4495AF66-DB76-4DCC-BE66-18C7F6F9325F}"/>
    <cellStyle name="Input 2 19 2" xfId="657" xr:uid="{02ECC1A6-4EEE-4AF5-B7CD-F2311E8E237E}"/>
    <cellStyle name="Input 2 2" xfId="658" xr:uid="{5F37FCEB-4A18-40D3-B356-CC8BE667AF19}"/>
    <cellStyle name="Input 2 2 2" xfId="659" xr:uid="{FB6CAC7E-C88E-47A6-A44C-CA2A654A607D}"/>
    <cellStyle name="Input 2 20" xfId="660" xr:uid="{6CE4E828-2ED6-4395-9C61-5CC7B04A36E7}"/>
    <cellStyle name="Input 2 20 2" xfId="661" xr:uid="{FFC7DF68-9409-41E1-BCB7-EF51EC7F8C9B}"/>
    <cellStyle name="Input 2 21" xfId="662" xr:uid="{BA0B61E6-7D34-47FC-B5F4-F3E6024B9830}"/>
    <cellStyle name="Input 2 21 2" xfId="663" xr:uid="{46076EFD-8766-4F13-B606-5FD9157F7D80}"/>
    <cellStyle name="Input 2 22" xfId="664" xr:uid="{CA2FBD63-BC7B-4CDF-A2A2-53615DB63F02}"/>
    <cellStyle name="Input 2 22 2" xfId="665" xr:uid="{FA16FE3B-A55A-4AEA-899E-FFCA10BE9A2A}"/>
    <cellStyle name="Input 2 23" xfId="666" xr:uid="{4195BFA3-EA45-46BE-9265-8583F852E4A4}"/>
    <cellStyle name="Input 2 3" xfId="667" xr:uid="{6B1B9264-B9E2-4377-82EB-1DCFB7249C97}"/>
    <cellStyle name="Input 2 3 2" xfId="668" xr:uid="{1036E72A-8FCB-443F-B541-9821C569161B}"/>
    <cellStyle name="Input 2 4" xfId="669" xr:uid="{40A782D7-2D16-4AA4-8DC7-5BD3BDB6209C}"/>
    <cellStyle name="Input 2 4 2" xfId="670" xr:uid="{D8405AD9-6532-4916-A2E2-50E47FB8C808}"/>
    <cellStyle name="Input 2 5" xfId="671" xr:uid="{C98E6859-357C-4297-B300-F90C2E057473}"/>
    <cellStyle name="Input 2 5 2" xfId="672" xr:uid="{FBB327E8-2CB2-4BB8-A556-9033902CD04D}"/>
    <cellStyle name="Input 2 6" xfId="673" xr:uid="{E5E0B1BD-1ED6-45EA-8A99-5F5550AC3FD5}"/>
    <cellStyle name="Input 2 6 2" xfId="674" xr:uid="{0AD4EBBA-2FAA-4E19-BF04-458AB91C994E}"/>
    <cellStyle name="Input 2 7" xfId="675" xr:uid="{14E24AD8-F46D-4D31-BBDC-446D6FCF8024}"/>
    <cellStyle name="Input 2 7 2" xfId="676" xr:uid="{97B7A7A2-4A53-4659-84FC-BF23F04801E2}"/>
    <cellStyle name="Input 2 8" xfId="677" xr:uid="{165EFBC3-3B4C-48BA-8752-0E60D9E04CCC}"/>
    <cellStyle name="Input 2 8 2" xfId="678" xr:uid="{D1E49617-E676-4B44-8983-74E3FF1252B3}"/>
    <cellStyle name="Input 2 9" xfId="679" xr:uid="{3BDC2957-54B7-4A94-A5AB-1FC0BB9560E0}"/>
    <cellStyle name="Input 2 9 2" xfId="680" xr:uid="{CDCFA2AF-AF8B-4CA8-8537-60EA3AEBC51C}"/>
    <cellStyle name="Input 20" xfId="681" xr:uid="{ECEA781A-032E-474E-97D6-B43626E0CA3E}"/>
    <cellStyle name="Input 20 2" xfId="682" xr:uid="{A3539C99-9CEE-4CE7-BAA3-C21D0B0B409C}"/>
    <cellStyle name="Input 21" xfId="683" xr:uid="{0E4756C7-27B6-4274-9DCC-72DCBF24E28A}"/>
    <cellStyle name="Input 21 2" xfId="684" xr:uid="{8A5908E0-D7CE-46D2-8F98-722E906DA353}"/>
    <cellStyle name="Input 22" xfId="685" xr:uid="{9B3ED459-9857-435A-A107-547896A6A26B}"/>
    <cellStyle name="Input 22 2" xfId="686" xr:uid="{CE2F6A4F-65BA-4A49-9050-C28F063CB85E}"/>
    <cellStyle name="Input 23" xfId="687" xr:uid="{C56694CC-6E1D-4C31-AE0D-34C4875C5F5C}"/>
    <cellStyle name="Input 23 2" xfId="688" xr:uid="{11348596-B538-4C68-8BA0-B3E3F95227BD}"/>
    <cellStyle name="Input 24" xfId="689" xr:uid="{1D46086E-6947-40A5-8EBC-89579F02EBA8}"/>
    <cellStyle name="Input 24 2" xfId="690" xr:uid="{54198A8B-E0A4-404A-8241-127349DC51A6}"/>
    <cellStyle name="Input 25" xfId="691" xr:uid="{B0F5B807-BB62-451B-83C1-F5BD4A027B32}"/>
    <cellStyle name="Input 25 2" xfId="692" xr:uid="{9CD41AE3-685B-40B5-A731-55798CD13BFF}"/>
    <cellStyle name="Input 26" xfId="693" xr:uid="{25BAFD0A-EA4B-4AB6-868D-92D8313D2259}"/>
    <cellStyle name="Input 26 2" xfId="694" xr:uid="{A4E630CD-6BC1-4129-B26C-C0A56F431489}"/>
    <cellStyle name="Input 27" xfId="695" xr:uid="{BE8D0494-1C95-4ADE-BE90-F029225D3280}"/>
    <cellStyle name="Input 27 2" xfId="696" xr:uid="{793F97DB-DEA0-44E0-A070-E63A629590B0}"/>
    <cellStyle name="Input 28" xfId="697" xr:uid="{947F1E69-E461-4776-A73D-ECC9D9857D60}"/>
    <cellStyle name="Input 28 2" xfId="698" xr:uid="{5CC0E091-4CD1-4B16-A52B-D969D6E47692}"/>
    <cellStyle name="Input 29" xfId="699" xr:uid="{AFD91CFD-FAB7-4617-9A89-967B08B2F018}"/>
    <cellStyle name="Input 3" xfId="700" xr:uid="{15151A68-008B-44FC-BBB8-B181FA6B0A48}"/>
    <cellStyle name="Input 3 10" xfId="701" xr:uid="{B3CAA2B8-B565-4CAE-9118-613BD53323B4}"/>
    <cellStyle name="Input 3 10 2" xfId="702" xr:uid="{244B041B-4FED-4F5D-B0A3-C341601B2BFA}"/>
    <cellStyle name="Input 3 11" xfId="703" xr:uid="{37B253D7-70A2-469B-981A-4700B9AB5439}"/>
    <cellStyle name="Input 3 11 2" xfId="704" xr:uid="{532D03FB-0B44-41F0-A040-84410E9290AF}"/>
    <cellStyle name="Input 3 12" xfId="705" xr:uid="{507CE475-CC85-438E-ACD5-0FB566BB9D59}"/>
    <cellStyle name="Input 3 12 2" xfId="706" xr:uid="{16AB838C-437D-4D4E-A449-FBC988FEDC17}"/>
    <cellStyle name="Input 3 13" xfId="707" xr:uid="{6FB7E502-1D22-4117-9BF2-AFAF71B99B6A}"/>
    <cellStyle name="Input 3 13 2" xfId="708" xr:uid="{194810EA-85E4-4688-A943-8181AEBA0A22}"/>
    <cellStyle name="Input 3 14" xfId="709" xr:uid="{7BFD6CE5-C780-4445-BB82-8C789D796635}"/>
    <cellStyle name="Input 3 14 2" xfId="710" xr:uid="{2EBBE6E3-15A5-42BD-B210-D3ECA4AE10D4}"/>
    <cellStyle name="Input 3 15" xfId="711" xr:uid="{EE915834-4DD2-4986-A770-D05E2F00A082}"/>
    <cellStyle name="Input 3 15 2" xfId="712" xr:uid="{68AA205F-95C2-45D5-88A0-BC55191CDFEF}"/>
    <cellStyle name="Input 3 16" xfId="713" xr:uid="{57851FA4-2536-4982-84F0-C626AE715932}"/>
    <cellStyle name="Input 3 16 2" xfId="714" xr:uid="{FC1745AB-535E-41E0-BDB9-EB8409C680BF}"/>
    <cellStyle name="Input 3 17" xfId="715" xr:uid="{68DC4275-41C1-465A-9586-06EB02EEDD6D}"/>
    <cellStyle name="Input 3 17 2" xfId="716" xr:uid="{51176AC7-9C43-42D1-A8AA-1F772B230A62}"/>
    <cellStyle name="Input 3 18" xfId="717" xr:uid="{03858BC5-EB50-4FE4-BDD0-E856002B5936}"/>
    <cellStyle name="Input 3 18 2" xfId="718" xr:uid="{81711B3B-A1C4-44E6-A6E2-AAA9F563103E}"/>
    <cellStyle name="Input 3 19" xfId="719" xr:uid="{83BFF2C8-CAA6-4F53-A682-F68A4F700F8C}"/>
    <cellStyle name="Input 3 19 2" xfId="720" xr:uid="{3DC57A27-53A4-4633-9CD5-EC719B038D59}"/>
    <cellStyle name="Input 3 2" xfId="721" xr:uid="{579D95CB-EB6E-47E3-9E6F-3D4764B24EAA}"/>
    <cellStyle name="Input 3 2 2" xfId="722" xr:uid="{D9FA9DDA-77B0-4417-BED9-75C20F4E7027}"/>
    <cellStyle name="Input 3 20" xfId="723" xr:uid="{1CDB7856-4882-4432-AEFD-DE3E97367816}"/>
    <cellStyle name="Input 3 20 2" xfId="724" xr:uid="{2C1357FB-898C-4553-8BFE-D81858FB9538}"/>
    <cellStyle name="Input 3 21" xfId="725" xr:uid="{DC2C1466-C217-4FC5-A5B9-905C69C5D329}"/>
    <cellStyle name="Input 3 21 2" xfId="726" xr:uid="{1D625986-CC20-466C-8A83-55FBFCFCFA36}"/>
    <cellStyle name="Input 3 22" xfId="727" xr:uid="{CEF2E18D-8120-40D0-9A18-42B3C59F93D6}"/>
    <cellStyle name="Input 3 22 2" xfId="728" xr:uid="{437BB1FF-65E6-4D44-A4DB-4CE4E48BB346}"/>
    <cellStyle name="Input 3 23" xfId="729" xr:uid="{5908A461-D29B-4A5F-8C45-BB6011143650}"/>
    <cellStyle name="Input 3 3" xfId="730" xr:uid="{BAC332C2-670C-4D24-B47F-42589E178305}"/>
    <cellStyle name="Input 3 3 2" xfId="731" xr:uid="{5956615B-6475-429C-AC25-6659E732C38D}"/>
    <cellStyle name="Input 3 4" xfId="732" xr:uid="{2F77541A-5D4F-4E28-97AA-29551FFF4006}"/>
    <cellStyle name="Input 3 4 2" xfId="733" xr:uid="{6F002703-337C-454C-905F-97F388DF8EBA}"/>
    <cellStyle name="Input 3 5" xfId="734" xr:uid="{B8E481AB-9801-4811-AAAE-80A06138FA7B}"/>
    <cellStyle name="Input 3 5 2" xfId="735" xr:uid="{CE1720B8-AA5D-4CF2-BA47-551AF25F5A97}"/>
    <cellStyle name="Input 3 6" xfId="736" xr:uid="{711C7668-0D12-4459-9EDF-563DCA1758FA}"/>
    <cellStyle name="Input 3 6 2" xfId="737" xr:uid="{E53A3A3B-7F2A-4D1C-B4FA-B9AC4D193B48}"/>
    <cellStyle name="Input 3 7" xfId="738" xr:uid="{750113DF-0FEC-487B-A293-CF66AE07A01E}"/>
    <cellStyle name="Input 3 7 2" xfId="739" xr:uid="{0301B35A-820A-4BF5-AB56-3401BCA23D0F}"/>
    <cellStyle name="Input 3 8" xfId="740" xr:uid="{9D972326-6076-48B2-B4D1-24EF70B016FF}"/>
    <cellStyle name="Input 3 8 2" xfId="741" xr:uid="{21BD9706-4262-4784-899A-FA7B0D86919E}"/>
    <cellStyle name="Input 3 9" xfId="742" xr:uid="{671D0C42-A9CB-4A22-91C6-BD3B6F8EE3F2}"/>
    <cellStyle name="Input 3 9 2" xfId="743" xr:uid="{5584A4D0-83E0-4175-BBCB-21672DD5F8DA}"/>
    <cellStyle name="Input 30" xfId="744" xr:uid="{99287603-C207-420D-8CEF-1EB36C43F056}"/>
    <cellStyle name="Input 4" xfId="745" xr:uid="{1BBF516B-61FF-42A4-A0DD-0A993704B567}"/>
    <cellStyle name="Input 4 10" xfId="746" xr:uid="{A37C6BF6-8CF4-4BF1-B6FA-8ACBCF32AE81}"/>
    <cellStyle name="Input 4 10 2" xfId="747" xr:uid="{B255DA17-BFFA-4546-A2BB-2C0B92F760B1}"/>
    <cellStyle name="Input 4 11" xfId="748" xr:uid="{02023B81-2C82-490C-9D24-1B3E7977B990}"/>
    <cellStyle name="Input 4 11 2" xfId="749" xr:uid="{ED26F902-6354-4F54-A153-9F415ED7B7FF}"/>
    <cellStyle name="Input 4 12" xfId="750" xr:uid="{3E1AD873-5632-41B5-A46F-A94DC9C73064}"/>
    <cellStyle name="Input 4 12 2" xfId="751" xr:uid="{CCFC8A99-CF3E-4E03-87AB-3FEB55B8D97B}"/>
    <cellStyle name="Input 4 13" xfId="752" xr:uid="{2D3374DD-6073-41A7-939A-E9A6F679F160}"/>
    <cellStyle name="Input 4 13 2" xfId="753" xr:uid="{7A09DFE3-773B-447C-A824-87E88EACEC4C}"/>
    <cellStyle name="Input 4 14" xfId="754" xr:uid="{7DC58512-4E6A-43E7-BEE4-06D034092941}"/>
    <cellStyle name="Input 4 14 2" xfId="755" xr:uid="{8A701EAF-3A22-4226-AF1B-8D275C77130F}"/>
    <cellStyle name="Input 4 15" xfId="756" xr:uid="{234BE655-E1F7-4561-94B2-926D5D82F1EC}"/>
    <cellStyle name="Input 4 15 2" xfId="757" xr:uid="{66674B27-23B7-47A0-A38F-EDBD183D647C}"/>
    <cellStyle name="Input 4 16" xfId="758" xr:uid="{8974365D-89F1-4EB5-BCA0-5601D6A29A1B}"/>
    <cellStyle name="Input 4 16 2" xfId="759" xr:uid="{3F61D2B3-4696-46D3-8231-F3DA7AF55611}"/>
    <cellStyle name="Input 4 17" xfId="760" xr:uid="{B280CD98-BFE6-44CF-AC15-4A29B1BFD15D}"/>
    <cellStyle name="Input 4 17 2" xfId="761" xr:uid="{2649B321-8321-44FA-93B6-577CB7281D3A}"/>
    <cellStyle name="Input 4 18" xfId="762" xr:uid="{937B5006-DC67-4AC3-B91D-B37931CD6EE5}"/>
    <cellStyle name="Input 4 18 2" xfId="763" xr:uid="{161FB9D8-AB7B-439D-B8A5-1ED1E2FD1052}"/>
    <cellStyle name="Input 4 19" xfId="764" xr:uid="{9DC107A2-349D-4CB2-B285-6C692376F7CD}"/>
    <cellStyle name="Input 4 19 2" xfId="765" xr:uid="{BF6743A3-1A30-424C-B397-6947853FB622}"/>
    <cellStyle name="Input 4 2" xfId="766" xr:uid="{B18E4B7B-B879-4F75-94A8-6956A3D1F1F2}"/>
    <cellStyle name="Input 4 2 2" xfId="767" xr:uid="{1B6A4C63-7023-4AE7-B5A5-CEE001350E59}"/>
    <cellStyle name="Input 4 20" xfId="768" xr:uid="{6720D0C3-E22E-4761-B413-ADFF431E88D5}"/>
    <cellStyle name="Input 4 20 2" xfId="769" xr:uid="{D649A226-297C-490F-B107-C1A295FC13D7}"/>
    <cellStyle name="Input 4 21" xfId="770" xr:uid="{4E78C1F8-7802-489A-808B-610F7FDFDE96}"/>
    <cellStyle name="Input 4 21 2" xfId="771" xr:uid="{C906ECB1-3E6F-4320-8A64-0EA14E2E90F7}"/>
    <cellStyle name="Input 4 22" xfId="772" xr:uid="{114AC0C8-58AE-4D67-9847-C297D0E62B2D}"/>
    <cellStyle name="Input 4 22 2" xfId="773" xr:uid="{B8766964-58BF-4027-9C22-0C54AE1B55C0}"/>
    <cellStyle name="Input 4 23" xfId="774" xr:uid="{8FE81FED-EE87-4C50-8876-9E0AFD6A5B70}"/>
    <cellStyle name="Input 4 3" xfId="775" xr:uid="{7DFD2D6B-B62D-424E-BAC5-177EBF09E0BC}"/>
    <cellStyle name="Input 4 3 2" xfId="776" xr:uid="{2E66F1E3-B201-48A3-9CE9-FDE0F005E68C}"/>
    <cellStyle name="Input 4 4" xfId="777" xr:uid="{8F246370-8B37-432C-A0BD-B1D90D5FB0CB}"/>
    <cellStyle name="Input 4 4 2" xfId="778" xr:uid="{97A1C5F3-0877-40A4-9DD4-3E453EBE42EC}"/>
    <cellStyle name="Input 4 5" xfId="779" xr:uid="{34A795C8-A6BC-4646-995B-39906C485272}"/>
    <cellStyle name="Input 4 5 2" xfId="780" xr:uid="{521F296F-BCD3-4F16-AFFF-AADE46CCDF0A}"/>
    <cellStyle name="Input 4 6" xfId="781" xr:uid="{3A74DEBF-0606-4B0D-BC6D-B17C9F6219C7}"/>
    <cellStyle name="Input 4 6 2" xfId="782" xr:uid="{B9AD3F1D-FCE4-4D94-9094-90AFB5C7530A}"/>
    <cellStyle name="Input 4 7" xfId="783" xr:uid="{C5D55630-2609-4E9E-B1E9-A42562F5DE49}"/>
    <cellStyle name="Input 4 7 2" xfId="784" xr:uid="{FFF5DFDB-F443-4C4D-AD28-17C538EB178E}"/>
    <cellStyle name="Input 4 8" xfId="785" xr:uid="{02DA415A-C2BB-470C-BFE8-1ED1621DA649}"/>
    <cellStyle name="Input 4 8 2" xfId="786" xr:uid="{7E1300E8-41F4-4D06-9928-AAB032EF3BD2}"/>
    <cellStyle name="Input 4 9" xfId="787" xr:uid="{890079E5-DA61-4F25-905F-E535E54C1368}"/>
    <cellStyle name="Input 4 9 2" xfId="788" xr:uid="{1C5636EC-FDC9-4291-B3C3-9B3D193BDE28}"/>
    <cellStyle name="Input 5" xfId="789" xr:uid="{F7CC18F6-2A98-4F7D-8B86-D46666E206B7}"/>
    <cellStyle name="Input 5 10" xfId="790" xr:uid="{814A606A-0369-4126-B80B-3691A9009D5B}"/>
    <cellStyle name="Input 5 10 2" xfId="791" xr:uid="{49A14673-06E6-48D8-8BF6-917E491704A3}"/>
    <cellStyle name="Input 5 11" xfId="792" xr:uid="{9E5FFA37-B50E-43C6-AC4E-E90A64DB64A2}"/>
    <cellStyle name="Input 5 11 2" xfId="793" xr:uid="{AFA138EC-369B-4EFA-B8B4-8C0D111195AD}"/>
    <cellStyle name="Input 5 12" xfId="794" xr:uid="{6ABF6159-DF2F-4B24-8C24-CDD88879AC12}"/>
    <cellStyle name="Input 5 12 2" xfId="795" xr:uid="{AA666742-C61C-45E2-95FD-6DD8534103C2}"/>
    <cellStyle name="Input 5 13" xfId="796" xr:uid="{73488D34-6AB4-4D58-A596-93548963F505}"/>
    <cellStyle name="Input 5 13 2" xfId="797" xr:uid="{411A8791-E21C-402A-8829-9227AE1B67C4}"/>
    <cellStyle name="Input 5 14" xfId="798" xr:uid="{446BE826-E1B1-42D7-A22D-E58B32536EA3}"/>
    <cellStyle name="Input 5 14 2" xfId="799" xr:uid="{E9D03260-EDD0-43B7-8D9D-EB11AE7BB1B5}"/>
    <cellStyle name="Input 5 15" xfId="800" xr:uid="{517424C7-7829-487B-8245-996C0DB3C361}"/>
    <cellStyle name="Input 5 15 2" xfId="801" xr:uid="{36E089CA-5669-4949-8063-E475DFEECF84}"/>
    <cellStyle name="Input 5 16" xfId="802" xr:uid="{BC0D7BF1-EE12-446C-B69A-3DE9AF35D04D}"/>
    <cellStyle name="Input 5 16 2" xfId="803" xr:uid="{BD42F9AA-0863-4AC4-B0F3-3678C78BCD93}"/>
    <cellStyle name="Input 5 17" xfId="804" xr:uid="{C24727A0-D079-4A45-896A-4BBB90BEF068}"/>
    <cellStyle name="Input 5 17 2" xfId="805" xr:uid="{23D6D7E7-D322-4D26-A301-EBD90815B509}"/>
    <cellStyle name="Input 5 18" xfId="806" xr:uid="{3AA56644-CB9F-4ACC-9635-DEF9A04AE591}"/>
    <cellStyle name="Input 5 18 2" xfId="807" xr:uid="{415C4AFB-E766-4081-84C7-C9ABFFA371AB}"/>
    <cellStyle name="Input 5 19" xfId="808" xr:uid="{7AD248F6-EC69-4F26-A0A0-4170E52AF0CB}"/>
    <cellStyle name="Input 5 19 2" xfId="809" xr:uid="{F8A7A7D6-8414-4112-8187-E86275428CE7}"/>
    <cellStyle name="Input 5 2" xfId="810" xr:uid="{0BD9C162-CC0F-47D7-B107-B9510789F2FA}"/>
    <cellStyle name="Input 5 2 2" xfId="811" xr:uid="{FACBBA4E-6CAE-40A3-9E6B-32CDBB5218F8}"/>
    <cellStyle name="Input 5 20" xfId="812" xr:uid="{D69CF6E3-D624-475D-9D98-BD5038CB436B}"/>
    <cellStyle name="Input 5 20 2" xfId="813" xr:uid="{AF12CE67-43C8-45D0-94B6-CF8D26650CDF}"/>
    <cellStyle name="Input 5 21" xfId="814" xr:uid="{12F35693-2FD4-4694-A52F-F46B4A66565E}"/>
    <cellStyle name="Input 5 21 2" xfId="815" xr:uid="{C626AFAC-F1BE-498D-A105-9B480B2FA799}"/>
    <cellStyle name="Input 5 22" xfId="816" xr:uid="{AEEC069C-1BD7-4606-ACD1-CF2AE9B31A4A}"/>
    <cellStyle name="Input 5 22 2" xfId="817" xr:uid="{A593F725-A2EB-4330-869B-607DCFC56975}"/>
    <cellStyle name="Input 5 23" xfId="818" xr:uid="{C1CE65FF-1939-4591-8AD1-AC6B4AB5CC74}"/>
    <cellStyle name="Input 5 3" xfId="819" xr:uid="{0D59D4EE-60A6-4E06-9A1C-57623B895C2E}"/>
    <cellStyle name="Input 5 3 2" xfId="820" xr:uid="{8C5FB134-64B2-4856-B787-71B030498CF9}"/>
    <cellStyle name="Input 5 4" xfId="821" xr:uid="{87C552E0-5551-4961-A730-7F1966BE68E3}"/>
    <cellStyle name="Input 5 4 2" xfId="822" xr:uid="{2C03A1A1-2DFB-4C43-AED4-0194D0FAFC24}"/>
    <cellStyle name="Input 5 5" xfId="823" xr:uid="{68A91914-33EB-46D7-8D88-7F3AC5D60850}"/>
    <cellStyle name="Input 5 5 2" xfId="824" xr:uid="{B3E2C770-7046-489A-AC0F-4B2FDD3AD326}"/>
    <cellStyle name="Input 5 6" xfId="825" xr:uid="{2BF54777-CA7E-44E6-B31A-D941CA499DB3}"/>
    <cellStyle name="Input 5 6 2" xfId="826" xr:uid="{10DD5F74-3C57-49DD-B894-A414835CEA15}"/>
    <cellStyle name="Input 5 7" xfId="827" xr:uid="{4B9F1210-6C43-44E3-8BB9-914382DF15F9}"/>
    <cellStyle name="Input 5 7 2" xfId="828" xr:uid="{573423F3-CBBA-4E83-AF88-0717AAAFAE05}"/>
    <cellStyle name="Input 5 8" xfId="829" xr:uid="{CA5CF601-A966-4FE1-9351-3131D83B4233}"/>
    <cellStyle name="Input 5 8 2" xfId="830" xr:uid="{599611F7-CA25-44F0-A55D-3F07C4D77264}"/>
    <cellStyle name="Input 5 9" xfId="831" xr:uid="{6F330256-3DE1-4C68-8949-42BA292F561A}"/>
    <cellStyle name="Input 5 9 2" xfId="832" xr:uid="{DBB8D02B-3B06-4745-8667-757885262CDF}"/>
    <cellStyle name="Input 6" xfId="833" xr:uid="{97E3EF93-6A18-43D2-BB62-FF7078FAF65C}"/>
    <cellStyle name="Input 6 10" xfId="834" xr:uid="{B8538B0A-ADFE-4189-B31E-66C25730941D}"/>
    <cellStyle name="Input 6 10 2" xfId="835" xr:uid="{EA2FBA33-2AF5-4D70-8CF4-F806A76DD8F7}"/>
    <cellStyle name="Input 6 11" xfId="836" xr:uid="{458B25E3-5993-4BB1-AA78-9057290FEA76}"/>
    <cellStyle name="Input 6 11 2" xfId="837" xr:uid="{BDE08356-9CB9-411E-B26F-402025F9E415}"/>
    <cellStyle name="Input 6 12" xfId="838" xr:uid="{E69FB7E0-0BBC-43E9-886C-295BC98727C6}"/>
    <cellStyle name="Input 6 12 2" xfId="839" xr:uid="{15E5D0F8-F156-4BC2-8B1B-85ACABC9A151}"/>
    <cellStyle name="Input 6 13" xfId="840" xr:uid="{DE856113-DF38-44F7-83C3-37BDDB8B9E48}"/>
    <cellStyle name="Input 6 13 2" xfId="841" xr:uid="{B1C8E366-11AF-429E-A2B2-3E39413D5651}"/>
    <cellStyle name="Input 6 14" xfId="842" xr:uid="{6F20228F-610A-484F-A3A6-0B860F8BAE0F}"/>
    <cellStyle name="Input 6 14 2" xfId="843" xr:uid="{3A1F4417-71FD-4141-AB6D-E32DBF01E27C}"/>
    <cellStyle name="Input 6 15" xfId="844" xr:uid="{A0F6BD4D-22E0-4680-B616-BAC1127677DE}"/>
    <cellStyle name="Input 6 15 2" xfId="845" xr:uid="{EDD8762F-05EB-491D-87E1-CDE4F101962E}"/>
    <cellStyle name="Input 6 16" xfId="846" xr:uid="{4E12F511-31BB-4AFB-B7CD-9D20D5F8D7D3}"/>
    <cellStyle name="Input 6 16 2" xfId="847" xr:uid="{0C33D20E-55C1-4033-9641-66E9C140C0FB}"/>
    <cellStyle name="Input 6 17" xfId="848" xr:uid="{66BE4A8B-2E2D-4DF9-BCE5-F31B4E505BCF}"/>
    <cellStyle name="Input 6 17 2" xfId="849" xr:uid="{46A2D689-E3C0-4B4A-B201-71540F44AFDA}"/>
    <cellStyle name="Input 6 18" xfId="850" xr:uid="{56248595-AEA9-443D-AFEC-956EA6453E1C}"/>
    <cellStyle name="Input 6 18 2" xfId="851" xr:uid="{DAD28DAA-3EDA-4377-BF73-3ED7010F290D}"/>
    <cellStyle name="Input 6 19" xfId="852" xr:uid="{BAE12DEF-6C81-460C-9C84-FCDF32505C99}"/>
    <cellStyle name="Input 6 19 2" xfId="853" xr:uid="{8A99BC82-3238-4C03-B0A8-600C49216655}"/>
    <cellStyle name="Input 6 2" xfId="854" xr:uid="{41A00CC8-E932-4E56-BB0F-911732D322AA}"/>
    <cellStyle name="Input 6 2 2" xfId="855" xr:uid="{5F157B50-946B-4918-B071-86C3291427E5}"/>
    <cellStyle name="Input 6 20" xfId="856" xr:uid="{D4AE59E1-F014-4922-9127-45E8569BC492}"/>
    <cellStyle name="Input 6 20 2" xfId="857" xr:uid="{3488B073-413B-4775-BAA2-770CE7CAB394}"/>
    <cellStyle name="Input 6 21" xfId="858" xr:uid="{39F7BEEE-5FED-49EE-82B8-705D21178F3C}"/>
    <cellStyle name="Input 6 21 2" xfId="859" xr:uid="{E220581E-0385-4C25-BE63-8B6B26CEA0F6}"/>
    <cellStyle name="Input 6 22" xfId="860" xr:uid="{EE66970B-B457-42BD-9320-E3DF201E0088}"/>
    <cellStyle name="Input 6 22 2" xfId="861" xr:uid="{FC47886D-83B2-40DB-9352-75F774C4A90C}"/>
    <cellStyle name="Input 6 23" xfId="862" xr:uid="{5FD68731-03E4-4B64-9119-B42F909DDD04}"/>
    <cellStyle name="Input 6 3" xfId="863" xr:uid="{D932E4BE-BC97-4D1C-8993-384E69B90F1C}"/>
    <cellStyle name="Input 6 3 2" xfId="864" xr:uid="{65CB3AD3-BE6C-4FA4-A237-94DC97CD9416}"/>
    <cellStyle name="Input 6 4" xfId="865" xr:uid="{E0CFB04F-0ACC-4E87-811B-EECF0631DB75}"/>
    <cellStyle name="Input 6 4 2" xfId="866" xr:uid="{A19DEE6F-091D-41A1-8ABB-A0401DC8E4EF}"/>
    <cellStyle name="Input 6 5" xfId="867" xr:uid="{56FEB59B-9164-43A9-BBA7-5361B34958ED}"/>
    <cellStyle name="Input 6 5 2" xfId="868" xr:uid="{418A0127-CF75-44A7-837E-B7412CE1E18F}"/>
    <cellStyle name="Input 6 6" xfId="869" xr:uid="{979A9ABF-235C-4871-972B-6236D1C98C94}"/>
    <cellStyle name="Input 6 6 2" xfId="870" xr:uid="{2A606E93-CB9C-4F03-B640-6C9E1FC2AE34}"/>
    <cellStyle name="Input 6 7" xfId="871" xr:uid="{159BF372-B575-4AF7-9C38-4729D9276119}"/>
    <cellStyle name="Input 6 7 2" xfId="872" xr:uid="{284D441F-2F21-4A27-87FF-9BD631D0320F}"/>
    <cellStyle name="Input 6 8" xfId="873" xr:uid="{1954E35C-73DE-412C-9C50-DEE8AB181429}"/>
    <cellStyle name="Input 6 8 2" xfId="874" xr:uid="{8F0060E8-21C9-4F59-BC18-BC20985BC1C0}"/>
    <cellStyle name="Input 6 9" xfId="875" xr:uid="{BC5745E0-DBD0-495B-9693-AD7E2D37121A}"/>
    <cellStyle name="Input 6 9 2" xfId="876" xr:uid="{D2CA4012-06A3-4694-9782-FAAA7EA35541}"/>
    <cellStyle name="Input 7" xfId="877" xr:uid="{31DF5771-9BBB-4847-B210-AFDDA475E26A}"/>
    <cellStyle name="Input 7 10" xfId="878" xr:uid="{54C40757-9140-4D43-8346-BA2F1D06F42F}"/>
    <cellStyle name="Input 7 10 2" xfId="879" xr:uid="{771321D9-3E9B-4424-9ADB-5C3FCF475BBF}"/>
    <cellStyle name="Input 7 11" xfId="880" xr:uid="{B4DD8D39-499F-46D7-BAC6-CA3A697D6B92}"/>
    <cellStyle name="Input 7 11 2" xfId="881" xr:uid="{98939C22-251A-47E4-BE2A-E3149F73FFD9}"/>
    <cellStyle name="Input 7 12" xfId="882" xr:uid="{98676CC0-2C1B-46EB-BB8C-F99D4B46B726}"/>
    <cellStyle name="Input 7 12 2" xfId="883" xr:uid="{B777315F-7C42-46E6-AEE6-84AB245EC14F}"/>
    <cellStyle name="Input 7 13" xfId="884" xr:uid="{3395B93B-46C8-4305-B61F-B1502489E1A9}"/>
    <cellStyle name="Input 7 13 2" xfId="885" xr:uid="{555B5FFF-24BE-4392-A591-31E5B0FB72B4}"/>
    <cellStyle name="Input 7 14" xfId="886" xr:uid="{F7438082-C336-4E6D-B4EB-36CDCF0A2C18}"/>
    <cellStyle name="Input 7 14 2" xfId="887" xr:uid="{7C5B1038-9E76-4E16-8076-7EC5E7F0C2A4}"/>
    <cellStyle name="Input 7 15" xfId="888" xr:uid="{6C75D3B0-3B62-4CC0-9E41-515074CAC7BD}"/>
    <cellStyle name="Input 7 15 2" xfId="889" xr:uid="{3C543427-E3D0-4F63-B0FE-724F15579723}"/>
    <cellStyle name="Input 7 16" xfId="890" xr:uid="{4BCE8CA4-1824-4A4F-9D99-5C8CC61208D6}"/>
    <cellStyle name="Input 7 16 2" xfId="891" xr:uid="{4A3D0015-9162-4398-B79B-342E42B9074F}"/>
    <cellStyle name="Input 7 17" xfId="892" xr:uid="{D1D4C3DD-D106-4845-98A8-55FC922D564C}"/>
    <cellStyle name="Input 7 17 2" xfId="893" xr:uid="{91B1174F-ABD4-418A-AA6F-F8C5E419A38A}"/>
    <cellStyle name="Input 7 18" xfId="894" xr:uid="{3041434E-6A79-4273-80DF-9FB585163E82}"/>
    <cellStyle name="Input 7 18 2" xfId="895" xr:uid="{44E9A56C-29D8-4469-AD3B-C7E7E76298C9}"/>
    <cellStyle name="Input 7 19" xfId="896" xr:uid="{C89B44EA-033A-408B-95B0-6850F409ABB5}"/>
    <cellStyle name="Input 7 19 2" xfId="897" xr:uid="{92707B7C-20EE-4B66-A6B6-33DFAA11AC3C}"/>
    <cellStyle name="Input 7 2" xfId="898" xr:uid="{5417CB40-2281-4F69-BC93-DDB10A1D3247}"/>
    <cellStyle name="Input 7 2 2" xfId="899" xr:uid="{EBCFA6F1-D7C2-4C68-A631-062008F74438}"/>
    <cellStyle name="Input 7 20" xfId="900" xr:uid="{B532376E-3DCF-4584-9F6A-DEFDFBBBC05E}"/>
    <cellStyle name="Input 7 20 2" xfId="901" xr:uid="{6D73FF2E-4F04-41F0-92E8-091B7A9F3FF1}"/>
    <cellStyle name="Input 7 21" xfId="902" xr:uid="{7149DDA0-AC98-4BE9-9430-5FB2017A1A17}"/>
    <cellStyle name="Input 7 21 2" xfId="903" xr:uid="{A6C3C8A8-4035-400B-8A15-FFFBF34D24D9}"/>
    <cellStyle name="Input 7 22" xfId="904" xr:uid="{B16368E8-057B-4988-A609-BE2E5BAC9394}"/>
    <cellStyle name="Input 7 22 2" xfId="905" xr:uid="{8FB1F27F-8C25-402D-B2C5-0363F69E3DED}"/>
    <cellStyle name="Input 7 23" xfId="906" xr:uid="{EC0A9BBC-EA99-4AFA-9339-A0232CD62B79}"/>
    <cellStyle name="Input 7 3" xfId="907" xr:uid="{A4A95C8D-2AB5-4717-9DE8-E11FB8CA5E39}"/>
    <cellStyle name="Input 7 3 2" xfId="908" xr:uid="{E310C988-7BCC-4BB7-A361-720CA4D21AEB}"/>
    <cellStyle name="Input 7 4" xfId="909" xr:uid="{FD69ACB6-8355-4EF4-8335-FBDB86B2E6D2}"/>
    <cellStyle name="Input 7 4 2" xfId="910" xr:uid="{A7B4F412-F538-4C6D-8A8A-429DB5851E02}"/>
    <cellStyle name="Input 7 5" xfId="911" xr:uid="{E49D1E8E-E4A0-4A68-8BB2-B1590D9B5D8E}"/>
    <cellStyle name="Input 7 5 2" xfId="912" xr:uid="{1064C19F-7673-46E7-9D10-80C11CBD08FD}"/>
    <cellStyle name="Input 7 6" xfId="913" xr:uid="{1EABE1D4-2DEB-4743-956A-FBB0B5448AE9}"/>
    <cellStyle name="Input 7 6 2" xfId="914" xr:uid="{EA4C9930-8AA8-4ABC-80B1-F51C6894A015}"/>
    <cellStyle name="Input 7 7" xfId="915" xr:uid="{1B989212-04E2-448A-B1E3-8187459D40A7}"/>
    <cellStyle name="Input 7 7 2" xfId="916" xr:uid="{50701BF8-DB2A-48FE-981B-6D416FEB9D10}"/>
    <cellStyle name="Input 7 8" xfId="917" xr:uid="{9703BBE9-50CA-4884-AA4C-8CFBB98EE857}"/>
    <cellStyle name="Input 7 8 2" xfId="918" xr:uid="{530183C5-4263-4442-9FCE-606997ACA6B4}"/>
    <cellStyle name="Input 7 9" xfId="919" xr:uid="{6E73C7FE-90AF-4700-A1D6-68FDB31F334F}"/>
    <cellStyle name="Input 7 9 2" xfId="920" xr:uid="{3B9F2D75-D372-4261-B27D-4A04F0B4535B}"/>
    <cellStyle name="Input 8" xfId="921" xr:uid="{0D8DD4B9-0104-4377-B381-5F6E565EE7CD}"/>
    <cellStyle name="Input 8 10" xfId="922" xr:uid="{366F0CC5-0D24-4C26-A70D-0A31F848CB40}"/>
    <cellStyle name="Input 8 10 2" xfId="923" xr:uid="{27256F4B-6229-4C7E-80DF-7BBEC3D70761}"/>
    <cellStyle name="Input 8 11" xfId="924" xr:uid="{AFE7EC8C-636B-4C2D-AD7B-585F8B02417D}"/>
    <cellStyle name="Input 8 11 2" xfId="925" xr:uid="{F405F374-EAF5-4555-BB38-B2ED1A1FAAF8}"/>
    <cellStyle name="Input 8 12" xfId="926" xr:uid="{EB10B86A-E3EC-48D2-98C4-DCFB655BC8FC}"/>
    <cellStyle name="Input 8 12 2" xfId="927" xr:uid="{727F13AD-F316-4FB0-8FB6-7E126AE6E46D}"/>
    <cellStyle name="Input 8 13" xfId="928" xr:uid="{BA28EBDA-5B4D-447F-8882-64024E209DF6}"/>
    <cellStyle name="Input 8 13 2" xfId="929" xr:uid="{CE199DDA-C186-47FC-A14B-E83A4D91C932}"/>
    <cellStyle name="Input 8 14" xfId="930" xr:uid="{2D676F69-8840-4890-937A-289C407BB284}"/>
    <cellStyle name="Input 8 14 2" xfId="931" xr:uid="{7E30C601-BDA2-460D-BC80-2ABE83C06BCE}"/>
    <cellStyle name="Input 8 15" xfId="932" xr:uid="{9045D1D9-365D-4E29-9F78-0A24DE30B393}"/>
    <cellStyle name="Input 8 15 2" xfId="933" xr:uid="{BAC51F51-87FA-4A06-9E19-A1AD229A46E0}"/>
    <cellStyle name="Input 8 16" xfId="934" xr:uid="{6CCD19F6-4248-46B7-9F30-C12FC910703F}"/>
    <cellStyle name="Input 8 16 2" xfId="935" xr:uid="{E79BC197-2F3D-47FE-84F1-2677E7092AC3}"/>
    <cellStyle name="Input 8 17" xfId="936" xr:uid="{5E62EBAD-FFF1-4E46-B8B4-780E8DC6CDED}"/>
    <cellStyle name="Input 8 17 2" xfId="937" xr:uid="{B0A71B4F-EC0D-4C7F-B8F1-65D315675F96}"/>
    <cellStyle name="Input 8 18" xfId="938" xr:uid="{595D650A-5FDA-42DA-BA44-9095F8413F1A}"/>
    <cellStyle name="Input 8 18 2" xfId="939" xr:uid="{2C8A9532-C616-48E3-A8EE-397FFD3ADDCE}"/>
    <cellStyle name="Input 8 19" xfId="940" xr:uid="{89F01DA3-CF65-424A-9F65-A57C37B0FAE1}"/>
    <cellStyle name="Input 8 19 2" xfId="941" xr:uid="{A44E481F-7303-4CBC-9156-DC84969E59D7}"/>
    <cellStyle name="Input 8 2" xfId="942" xr:uid="{F0F81A05-8A14-4BD2-9B73-B623A8E67E41}"/>
    <cellStyle name="Input 8 2 2" xfId="943" xr:uid="{FD4B5590-27D4-4001-AF7A-D62BD0EFE0F1}"/>
    <cellStyle name="Input 8 20" xfId="944" xr:uid="{EC6C0AE6-F752-4999-81F0-47C29F202311}"/>
    <cellStyle name="Input 8 20 2" xfId="945" xr:uid="{0D2CAD4C-6A33-419A-B545-D5069F2729A4}"/>
    <cellStyle name="Input 8 21" xfId="946" xr:uid="{209E3480-8B92-4691-81A3-80E280A3F579}"/>
    <cellStyle name="Input 8 21 2" xfId="947" xr:uid="{C00258C8-560F-4AFF-B2C9-DB3890CE0115}"/>
    <cellStyle name="Input 8 22" xfId="948" xr:uid="{D48BD817-EFCF-4602-8BC3-3B4A4265CCB9}"/>
    <cellStyle name="Input 8 22 2" xfId="949" xr:uid="{3461FEC2-0CC5-4340-8881-D793D7EE3B30}"/>
    <cellStyle name="Input 8 23" xfId="950" xr:uid="{076B2BBD-F7A5-4EC9-BDF8-3A84745B59AA}"/>
    <cellStyle name="Input 8 3" xfId="951" xr:uid="{063C3C3B-1B2D-4C2C-98B1-0F1269433F82}"/>
    <cellStyle name="Input 8 3 2" xfId="952" xr:uid="{76DD7D45-B110-454B-B453-C033A6752B72}"/>
    <cellStyle name="Input 8 4" xfId="953" xr:uid="{E134C775-4DFA-45DB-B57D-ECA72EF963C0}"/>
    <cellStyle name="Input 8 4 2" xfId="954" xr:uid="{D4F10E4E-F9C1-4F90-A3D3-C462CADAE33E}"/>
    <cellStyle name="Input 8 5" xfId="955" xr:uid="{2BBDAB3C-6820-41E0-8291-2DB42322101A}"/>
    <cellStyle name="Input 8 5 2" xfId="956" xr:uid="{8A0F9CBF-DA28-4368-B0B7-4A99CFF5AC81}"/>
    <cellStyle name="Input 8 6" xfId="957" xr:uid="{7E02D31C-6B66-43C5-812A-FA833ECC5193}"/>
    <cellStyle name="Input 8 6 2" xfId="958" xr:uid="{D210651D-A89D-4E51-B0A4-AA37B70B84A3}"/>
    <cellStyle name="Input 8 7" xfId="959" xr:uid="{B11D31FB-E20C-429B-9873-5169224B1014}"/>
    <cellStyle name="Input 8 7 2" xfId="960" xr:uid="{30E83F34-C89D-436C-A22F-C46F7BBB7313}"/>
    <cellStyle name="Input 8 8" xfId="961" xr:uid="{FF003999-3631-4AB3-A1A3-4D1F58BAC5C2}"/>
    <cellStyle name="Input 8 8 2" xfId="962" xr:uid="{49B88219-01D7-44CD-A60A-D1F97D19E4E3}"/>
    <cellStyle name="Input 8 9" xfId="963" xr:uid="{9E841DED-843F-4FBF-BB3A-1BC25F75537B}"/>
    <cellStyle name="Input 8 9 2" xfId="964" xr:uid="{92101C24-C26F-4CE6-AC1F-8B072D448E2E}"/>
    <cellStyle name="Input 9" xfId="965" xr:uid="{A72BA802-9793-4173-9572-281CB3F0C2FA}"/>
    <cellStyle name="Input 9 10" xfId="966" xr:uid="{81FFDA70-4A73-4865-B8AB-183CA4EF82FD}"/>
    <cellStyle name="Input 9 10 2" xfId="967" xr:uid="{77AE4E29-4C93-4819-8F8C-DDE84EAEEDEB}"/>
    <cellStyle name="Input 9 11" xfId="968" xr:uid="{D8E367BA-5CBD-41C6-8B64-449320FB689A}"/>
    <cellStyle name="Input 9 11 2" xfId="969" xr:uid="{E64C7608-96F9-4F69-A8E5-200B174DD298}"/>
    <cellStyle name="Input 9 12" xfId="970" xr:uid="{F7289BB9-0F0F-4B63-B24C-66F5BC8EB322}"/>
    <cellStyle name="Input 9 12 2" xfId="971" xr:uid="{C4B4A7B7-3E4F-4FF5-A90B-EE9C4079DA9E}"/>
    <cellStyle name="Input 9 13" xfId="972" xr:uid="{A591E8DD-68D9-47B6-9C3E-C7E0BF072A39}"/>
    <cellStyle name="Input 9 13 2" xfId="973" xr:uid="{A04AC490-AC85-4344-8AFE-A172EFADDBF9}"/>
    <cellStyle name="Input 9 14" xfId="974" xr:uid="{7FC36218-B482-4732-B11B-6746D9287E36}"/>
    <cellStyle name="Input 9 14 2" xfId="975" xr:uid="{B9A1A6BA-18B1-4310-A805-A2D78923E41C}"/>
    <cellStyle name="Input 9 15" xfId="976" xr:uid="{782BFD43-4D1D-4E45-A85F-1806EB93B83A}"/>
    <cellStyle name="Input 9 15 2" xfId="977" xr:uid="{E621781A-4740-45BC-9D85-75ED501024E7}"/>
    <cellStyle name="Input 9 16" xfId="978" xr:uid="{4540B3A0-99A8-4593-BD33-36D12D76E35E}"/>
    <cellStyle name="Input 9 16 2" xfId="979" xr:uid="{971A85B2-7E40-4654-8CB7-D25B59AE60A6}"/>
    <cellStyle name="Input 9 17" xfId="980" xr:uid="{9CA30D7D-3338-4BD0-ACC7-318A7074CE57}"/>
    <cellStyle name="Input 9 17 2" xfId="981" xr:uid="{94982A24-30B8-45CD-8C8C-2D7E49FC86A8}"/>
    <cellStyle name="Input 9 18" xfId="982" xr:uid="{DBFC50D9-4BDE-41B8-A149-CEF21851AEE2}"/>
    <cellStyle name="Input 9 18 2" xfId="983" xr:uid="{D7B0CA1A-B478-4F21-BFAC-AEDCC1BC22FF}"/>
    <cellStyle name="Input 9 19" xfId="984" xr:uid="{B1981BC0-5976-4ADF-9A5F-B1B8EA5828D9}"/>
    <cellStyle name="Input 9 19 2" xfId="985" xr:uid="{8C6DFAA0-58D3-4335-86F9-4245E5B774A9}"/>
    <cellStyle name="Input 9 2" xfId="986" xr:uid="{E237429D-F904-42E1-B957-C32EA6335056}"/>
    <cellStyle name="Input 9 2 2" xfId="987" xr:uid="{C40F8466-A99E-411C-9158-DDF8B3984945}"/>
    <cellStyle name="Input 9 20" xfId="988" xr:uid="{FA91DEE6-8332-4ED4-B8D7-03CFEED64D12}"/>
    <cellStyle name="Input 9 20 2" xfId="989" xr:uid="{119CE388-DEE0-419C-981B-18D01E08CAE7}"/>
    <cellStyle name="Input 9 21" xfId="990" xr:uid="{277E757C-E934-4D4D-B876-82E9EA6D4F17}"/>
    <cellStyle name="Input 9 21 2" xfId="991" xr:uid="{7206981F-24F7-42A8-B982-31331D79C3FA}"/>
    <cellStyle name="Input 9 22" xfId="992" xr:uid="{961BE162-D4FC-45C7-8738-10D13AFB67D7}"/>
    <cellStyle name="Input 9 22 2" xfId="993" xr:uid="{468EB1DC-6F3F-4DAC-94AF-29CC4EDE70E6}"/>
    <cellStyle name="Input 9 23" xfId="994" xr:uid="{794E19CF-29B1-40CE-8F77-32D057C1EC2A}"/>
    <cellStyle name="Input 9 3" xfId="995" xr:uid="{49F59075-B335-4004-8F61-7D789C470744}"/>
    <cellStyle name="Input 9 3 2" xfId="996" xr:uid="{A1C89A05-648B-48E6-AD10-547C5F74E38A}"/>
    <cellStyle name="Input 9 4" xfId="997" xr:uid="{81621DD8-3663-4370-8F91-36488D99A17D}"/>
    <cellStyle name="Input 9 4 2" xfId="998" xr:uid="{4119F593-79A1-4608-A324-4F3288DF6C83}"/>
    <cellStyle name="Input 9 5" xfId="999" xr:uid="{9709B648-0207-4491-A41E-4A62E10FB8C7}"/>
    <cellStyle name="Input 9 5 2" xfId="1000" xr:uid="{2BBC850D-B1A4-4DC4-8EB5-761E13D03DF6}"/>
    <cellStyle name="Input 9 6" xfId="1001" xr:uid="{573C74FE-B618-4CE0-B88E-C48C6C972DC6}"/>
    <cellStyle name="Input 9 6 2" xfId="1002" xr:uid="{8771F879-C135-45A6-8300-2B6775E1F40A}"/>
    <cellStyle name="Input 9 7" xfId="1003" xr:uid="{21D9F6B7-9C47-4AC2-917B-F167B260ACD5}"/>
    <cellStyle name="Input 9 7 2" xfId="1004" xr:uid="{F351A574-C2A4-48F9-9324-B90D0601C52D}"/>
    <cellStyle name="Input 9 8" xfId="1005" xr:uid="{E878100D-B8C6-4567-8D99-9F4994F6DDC6}"/>
    <cellStyle name="Input 9 8 2" xfId="1006" xr:uid="{E8E72755-6FB3-4F87-B83A-612C30B0BD1A}"/>
    <cellStyle name="Input 9 9" xfId="1007" xr:uid="{90B90D11-33D7-454A-B492-11BCBCCAF393}"/>
    <cellStyle name="Input 9 9 2" xfId="1008" xr:uid="{39DD57B5-7AA9-4604-8E05-15F22C259CCE}"/>
    <cellStyle name="Komma 2" xfId="1009" xr:uid="{2CFEC50D-7BD6-4D1C-BA69-ED4071E83F23}"/>
    <cellStyle name="Komma 2 2" xfId="1010" xr:uid="{CA6537F2-3BF3-48B8-9EDC-5164F69BE5EA}"/>
    <cellStyle name="Komma 2 2 2" xfId="1011" xr:uid="{EB035DFA-9A89-4023-A8D6-59AB47446E31}"/>
    <cellStyle name="Komma 2 3" xfId="1012" xr:uid="{0954FA65-C764-420F-BADE-F956C6219F48}"/>
    <cellStyle name="Komma 2 3 2" xfId="1013" xr:uid="{9DE7FCF0-4383-4D38-9FDC-239526F08417}"/>
    <cellStyle name="Komma 2 3 2 2" xfId="2781" xr:uid="{09A34F33-53DC-4E73-8956-211F987749AD}"/>
    <cellStyle name="Komma 2 3 3" xfId="2780" xr:uid="{B99BA3AA-46C9-4335-9F34-2CD72B2837DC}"/>
    <cellStyle name="Komma 2 4" xfId="2779" xr:uid="{5C2C0E16-03F0-45FB-BAB6-FB6404F0C131}"/>
    <cellStyle name="Komma 3" xfId="1014" xr:uid="{5248FF24-96AA-4B96-BCAF-C3E6589B7415}"/>
    <cellStyle name="Kontrolní buňka" xfId="15" builtinId="23" customBuiltin="1"/>
    <cellStyle name="Linked Cell" xfId="1015" xr:uid="{6ED51606-B3C6-4449-8D7F-213B025919FA}"/>
    <cellStyle name="Linked Cell 2" xfId="1016" xr:uid="{DC863C88-1B85-410C-9C7B-51159541D66D}"/>
    <cellStyle name="Měna 2" xfId="1017" xr:uid="{497E4134-46E1-42F7-9D17-12FCECA466D5}"/>
    <cellStyle name="Nadpis 1" xfId="5" builtinId="16" customBuiltin="1"/>
    <cellStyle name="Nadpis 2" xfId="6" builtinId="17" customBuiltin="1"/>
    <cellStyle name="Nadpis 3" xfId="7" builtinId="18" customBuiltin="1"/>
    <cellStyle name="Nadpis 4" xfId="8" builtinId="19" customBuiltin="1"/>
    <cellStyle name="Název 2" xfId="41" xr:uid="{B3E54150-28C0-4CE4-8F0A-D48B2486BFEE}"/>
    <cellStyle name="Název 3" xfId="1018" xr:uid="{5DFE0247-FF89-4490-92DE-E407D73402D8}"/>
    <cellStyle name="Neutrální 2" xfId="42" xr:uid="{56C38CD8-2D1E-43A7-8787-60658D2606E0}"/>
    <cellStyle name="Normal 17" xfId="1019" xr:uid="{3AF3566C-31D7-4690-AB49-1C02A1CEE33B}"/>
    <cellStyle name="Normal 17 4" xfId="2759" xr:uid="{2C3CAFB7-FFA0-4F52-B92F-49C864CF48EF}"/>
    <cellStyle name="Normal 2" xfId="1020" xr:uid="{FA35CC79-5957-4412-AF93-55C79EA94587}"/>
    <cellStyle name="Normal 2 2" xfId="1021" xr:uid="{0663069B-98BE-4E03-AC33-181B9F91EA4E}"/>
    <cellStyle name="Normal 2 2 2" xfId="1022" xr:uid="{52D7131C-1D56-4089-A923-DD8093F77DAF}"/>
    <cellStyle name="Normal 2 3" xfId="1023" xr:uid="{4470D824-72B4-4B1B-99F7-3224EA385CF1}"/>
    <cellStyle name="Normal_IAS_39_examples_securities" xfId="1" xr:uid="{F5DC17A0-B37E-470A-A7BF-233C58A577D2}"/>
    <cellStyle name="Normal_Swala Leasing + Finance Ltd - Mgt Accs 31.12.2008, workings" xfId="2756" xr:uid="{61D4506A-FABC-4CC6-9484-9622B7EA2A3D}"/>
    <cellStyle name="Normální" xfId="0" builtinId="0"/>
    <cellStyle name="Normální 10" xfId="2514" xr:uid="{94D742FD-AAA2-4597-BBDA-3C5D897AFB80}"/>
    <cellStyle name="Normální 11" xfId="2528" xr:uid="{BD9945F7-42BA-43BB-A2B6-E2D6E449A35B}"/>
    <cellStyle name="Normální 12" xfId="2542" xr:uid="{004D73BB-C3C2-43C9-B90E-A0A48990160D}"/>
    <cellStyle name="Normální 13" xfId="2556" xr:uid="{4DCF2BCB-1F79-4E7A-8D88-FD292E686A66}"/>
    <cellStyle name="Normální 14" xfId="2570" xr:uid="{08F8C72A-0A2E-4B15-81B0-ED807E1718E5}"/>
    <cellStyle name="Normální 15" xfId="2584" xr:uid="{0E3A4004-CE7C-4804-ADCC-CBA7360817BD}"/>
    <cellStyle name="Normální 16" xfId="2598" xr:uid="{E318130B-A163-4868-8D32-45F0B2AB1612}"/>
    <cellStyle name="Normální 17" xfId="2612" xr:uid="{C6A554C1-FE56-496B-AB5A-8DF56E2FAA9F}"/>
    <cellStyle name="Normální 18" xfId="2626" xr:uid="{5335625F-CE23-4A11-8C13-D81CF56DEBD6}"/>
    <cellStyle name="Normální 19" xfId="2640" xr:uid="{900B71C7-6F70-4E6C-8C22-F5BB22EDF507}"/>
    <cellStyle name="Normální 2" xfId="4" xr:uid="{21EB5EF2-8553-46D2-AEAC-5C14325A8F12}"/>
    <cellStyle name="Normální 2 2" xfId="38" xr:uid="{897BF307-D8BF-41BF-AB80-B64F292CF299}"/>
    <cellStyle name="Normální 2 2 2" xfId="39" xr:uid="{6C98A545-DF8C-403E-A3BB-DA62E95381BD}"/>
    <cellStyle name="Normální 2 2 3" xfId="2761" xr:uid="{5573E4EE-E55C-4062-8C3C-2DB9021B0934}"/>
    <cellStyle name="Normální 2 3" xfId="1024" xr:uid="{9178DFC4-7C38-4926-B414-EA1DA1022F45}"/>
    <cellStyle name="Normální 20" xfId="2654" xr:uid="{D3D78784-68FB-4749-AF3C-03F1D3E00828}"/>
    <cellStyle name="Normální 21" xfId="2668" xr:uid="{D9FD79FE-4399-4573-9BF5-94B1DCDE7AEC}"/>
    <cellStyle name="Normální 22" xfId="2682" xr:uid="{9CF91DB1-119B-467A-979E-A2E5672A6E4F}"/>
    <cellStyle name="Normální 23" xfId="2696" xr:uid="{DB68526D-D50C-45F6-82FF-3F97EEFD9D9C}"/>
    <cellStyle name="Normální 24" xfId="2710" xr:uid="{18DE193D-51B3-4B4A-A75D-A29F91ACBD7D}"/>
    <cellStyle name="Normální 25" xfId="2724" xr:uid="{EDA5378F-1ACF-4179-81E6-B87A47F8073E}"/>
    <cellStyle name="Normální 26" xfId="2739" xr:uid="{4948B45A-DD6D-4E7F-A1DE-C6D0FFC41126}"/>
    <cellStyle name="Normální 27" xfId="2741" xr:uid="{25018969-1A65-4864-B552-E2E006BB2285}"/>
    <cellStyle name="Normální 28" xfId="2755" xr:uid="{4A4B8F6D-FDC5-4310-B2B7-923431D7728D}"/>
    <cellStyle name="Normální 29" xfId="2784" xr:uid="{792F55BD-D11B-46A5-A772-3B68CCE443AD}"/>
    <cellStyle name="Normální 3" xfId="40" xr:uid="{76652742-4A62-475A-805F-E32A94296914}"/>
    <cellStyle name="Normální 30" xfId="2785" xr:uid="{3984425B-E7C3-46EE-8774-7DAFE79AFEA7}"/>
    <cellStyle name="Normální 4" xfId="1025" xr:uid="{B564F83D-93E4-452C-9DFD-0D234F941B1E}"/>
    <cellStyle name="Normální 5" xfId="1026" xr:uid="{0FBA77B6-CC1E-404D-B2AC-A5AF826577F9}"/>
    <cellStyle name="Normální 6" xfId="2458" xr:uid="{2ADF6C1A-E94C-4815-BE1C-D9FDD9914C68}"/>
    <cellStyle name="Normální 7" xfId="2472" xr:uid="{5433C815-950B-4F55-8019-4F465CD5E7B2}"/>
    <cellStyle name="Normální 8" xfId="2486" xr:uid="{FC627EFC-6EC8-4C41-8FFB-4045679F9FF7}"/>
    <cellStyle name="Normální 9" xfId="2500" xr:uid="{61FC2E1D-F8B1-445C-8FCD-3ACFC42FE43B}"/>
    <cellStyle name="Note" xfId="1027" xr:uid="{E6184357-9E5C-47F2-80D4-092EF4199DD4}"/>
    <cellStyle name="Note 10" xfId="1028" xr:uid="{E3A8A6BC-F06E-4FDF-882A-C3B9658DEC41}"/>
    <cellStyle name="Note 10 10" xfId="1029" xr:uid="{B6AFD480-EA08-4979-970F-E19E18988D62}"/>
    <cellStyle name="Note 10 10 2" xfId="1030" xr:uid="{FDFFBA01-5548-4234-AC26-DF00009C7681}"/>
    <cellStyle name="Note 10 11" xfId="1031" xr:uid="{8F8F035A-78F2-4C6A-B66F-A03A31397802}"/>
    <cellStyle name="Note 10 11 2" xfId="1032" xr:uid="{37DB111B-FFA8-48F1-A43B-0694F0A2D9E7}"/>
    <cellStyle name="Note 10 12" xfId="1033" xr:uid="{420B610C-0E7D-4DD2-9907-E4F46DFADFDF}"/>
    <cellStyle name="Note 10 12 2" xfId="1034" xr:uid="{1F9F69D7-629E-4FCC-905F-4D432A00CEE9}"/>
    <cellStyle name="Note 10 13" xfId="1035" xr:uid="{384B27CF-10D8-4463-8FBA-BAED06853BF3}"/>
    <cellStyle name="Note 10 13 2" xfId="1036" xr:uid="{EE5CFE3E-E6FC-48F4-B7AC-D2F090D5A4F9}"/>
    <cellStyle name="Note 10 14" xfId="1037" xr:uid="{F53A7E9B-5B38-469E-B54B-FE6BF2094211}"/>
    <cellStyle name="Note 10 14 2" xfId="1038" xr:uid="{628F8BEF-D8B8-40FF-8E98-D43379580F51}"/>
    <cellStyle name="Note 10 15" xfId="1039" xr:uid="{EBDEAE30-AE6A-419E-A5BA-84B4F0714657}"/>
    <cellStyle name="Note 10 15 2" xfId="1040" xr:uid="{29538E11-9F5F-4A54-9DBD-533C6C2312D4}"/>
    <cellStyle name="Note 10 16" xfId="1041" xr:uid="{ACFB3FBB-FF97-45D7-A236-D9518A611B72}"/>
    <cellStyle name="Note 10 16 2" xfId="1042" xr:uid="{4EB26E22-C0F1-411A-A303-365914DAA040}"/>
    <cellStyle name="Note 10 17" xfId="1043" xr:uid="{276EFF0B-0D3A-44F2-9FB5-05203CE62223}"/>
    <cellStyle name="Note 10 17 2" xfId="1044" xr:uid="{19FBA8FF-1BB8-4D45-A1F4-93EDF745F6E6}"/>
    <cellStyle name="Note 10 18" xfId="1045" xr:uid="{30E6B779-E069-41C7-A9CF-38A493894D4E}"/>
    <cellStyle name="Note 10 18 2" xfId="1046" xr:uid="{FB32CF5A-710B-4849-B9E8-4D44354CDFDE}"/>
    <cellStyle name="Note 10 19" xfId="1047" xr:uid="{4E9D1001-706F-4067-ACD8-4F13102D0BFE}"/>
    <cellStyle name="Note 10 19 2" xfId="1048" xr:uid="{AA2F5B7F-0775-41F5-91C1-885277DF1DB7}"/>
    <cellStyle name="Note 10 2" xfId="1049" xr:uid="{B008205A-5D70-4B1A-BA6A-16B4A94A9DBC}"/>
    <cellStyle name="Note 10 2 2" xfId="1050" xr:uid="{E92076D3-59B7-4F07-984C-C23A52D96496}"/>
    <cellStyle name="Note 10 20" xfId="1051" xr:uid="{5EAA655E-4A08-43ED-8EE6-968F51BA2253}"/>
    <cellStyle name="Note 10 20 2" xfId="1052" xr:uid="{729C6C62-F436-4CB9-9E94-0372C4819C0D}"/>
    <cellStyle name="Note 10 21" xfId="1053" xr:uid="{8236B855-05FA-4CC8-942C-BAD5D05AD452}"/>
    <cellStyle name="Note 10 21 2" xfId="1054" xr:uid="{2B66BB4D-401E-4839-A9DF-7BDA3289A21F}"/>
    <cellStyle name="Note 10 22" xfId="1055" xr:uid="{59C23D12-A667-4D70-8F32-D55CABBBC066}"/>
    <cellStyle name="Note 10 3" xfId="1056" xr:uid="{BFC5CEF4-1B42-48C0-BDA8-E98451D15198}"/>
    <cellStyle name="Note 10 3 2" xfId="1057" xr:uid="{E28A7CC2-31A6-4195-BA11-575A7972BBD4}"/>
    <cellStyle name="Note 10 4" xfId="1058" xr:uid="{3FF4848D-A36C-4778-BA1D-D06123C21965}"/>
    <cellStyle name="Note 10 4 2" xfId="1059" xr:uid="{74532002-5AD2-485F-964F-67E0AF4B39C7}"/>
    <cellStyle name="Note 10 5" xfId="1060" xr:uid="{A6B121E6-F494-48B3-8BBC-7CDE9EC6DF65}"/>
    <cellStyle name="Note 10 5 2" xfId="1061" xr:uid="{59E6DC25-583D-449A-93E6-838960890495}"/>
    <cellStyle name="Note 10 6" xfId="1062" xr:uid="{5429F14A-0817-41F0-8F99-C0F4A27FEF13}"/>
    <cellStyle name="Note 10 6 2" xfId="1063" xr:uid="{5B6EB450-265E-4C2C-8286-246443C4DC8B}"/>
    <cellStyle name="Note 10 7" xfId="1064" xr:uid="{241F1C9F-4858-41BC-8A7B-3B7414266310}"/>
    <cellStyle name="Note 10 7 2" xfId="1065" xr:uid="{DFA98890-B5B8-43C9-8E7E-1EA099452BD3}"/>
    <cellStyle name="Note 10 8" xfId="1066" xr:uid="{AEAA82D4-F6F5-4341-8ADE-AD323CD1A2CE}"/>
    <cellStyle name="Note 10 8 2" xfId="1067" xr:uid="{BBA034A1-990A-40B9-BDDD-ADE69B8DA97F}"/>
    <cellStyle name="Note 10 9" xfId="1068" xr:uid="{F67C1552-2732-48F4-8485-47879FF041AE}"/>
    <cellStyle name="Note 10 9 2" xfId="1069" xr:uid="{3F82F22D-1726-4A53-96EA-E3674E98A21E}"/>
    <cellStyle name="Note 11" xfId="1070" xr:uid="{9D19318C-E41B-40A9-AE14-4567D3FAE724}"/>
    <cellStyle name="Note 11 2" xfId="1071" xr:uid="{0BC4D107-C38E-44D4-8D4F-41D1F864C0CE}"/>
    <cellStyle name="Note 12" xfId="1072" xr:uid="{384E07AE-427F-4A05-9860-2152AE1AA5EA}"/>
    <cellStyle name="Note 12 2" xfId="1073" xr:uid="{A12B2F33-6D7A-488E-AE16-F4DFA51A341D}"/>
    <cellStyle name="Note 13" xfId="1074" xr:uid="{F0D5EE65-8E9F-4AA3-BBCA-48B8AB3606A7}"/>
    <cellStyle name="Note 13 2" xfId="1075" xr:uid="{8D386CF8-E4FE-4085-AE20-6E9618FE3CA6}"/>
    <cellStyle name="Note 14" xfId="1076" xr:uid="{59A246A0-92C9-40A3-A902-03C343BD7A3F}"/>
    <cellStyle name="Note 14 2" xfId="1077" xr:uid="{730FDC5B-2B48-4FFA-9E3D-99A143F0E646}"/>
    <cellStyle name="Note 15" xfId="1078" xr:uid="{43373A1E-391E-43A8-BC7E-A92F8FED94AE}"/>
    <cellStyle name="Note 15 2" xfId="1079" xr:uid="{0F2838B5-0D16-4241-952A-2505ADF36AA7}"/>
    <cellStyle name="Note 16" xfId="1080" xr:uid="{2FD9A082-89D4-422B-8C4A-A512573F4267}"/>
    <cellStyle name="Note 16 2" xfId="1081" xr:uid="{8D440D65-9CE8-4551-99CA-53CF83DC9528}"/>
    <cellStyle name="Note 17" xfId="1082" xr:uid="{987AE48C-002E-4C57-A5F0-36713B31A8AB}"/>
    <cellStyle name="Note 17 2" xfId="1083" xr:uid="{8E29E874-D1FB-40B3-805F-DFF476613198}"/>
    <cellStyle name="Note 18" xfId="1084" xr:uid="{93DF1E23-67EF-429A-A36A-1C02BA8DF5CC}"/>
    <cellStyle name="Note 18 2" xfId="1085" xr:uid="{F023A132-82DE-475D-A128-7AFE335C4D07}"/>
    <cellStyle name="Note 19" xfId="1086" xr:uid="{A7A2BA04-508D-4465-BAE0-8F858849CF54}"/>
    <cellStyle name="Note 19 2" xfId="1087" xr:uid="{37CF63AF-A3AF-4BA1-A239-FFF0B7374F4F}"/>
    <cellStyle name="Note 2" xfId="1088" xr:uid="{9772CC4F-3EAA-41ED-9837-0741323DA8F7}"/>
    <cellStyle name="Note 2 10" xfId="1089" xr:uid="{6BDB8037-CBF9-4496-8F42-B7DB96C6EA76}"/>
    <cellStyle name="Note 2 10 2" xfId="1090" xr:uid="{74D8CB9C-23A3-47DE-9707-DB6DD571A017}"/>
    <cellStyle name="Note 2 11" xfId="1091" xr:uid="{5408438E-C669-4ABF-A11A-C2E301AAD144}"/>
    <cellStyle name="Note 2 11 2" xfId="1092" xr:uid="{0FF7A5BC-B668-41C4-A80C-E86F6C14CBD2}"/>
    <cellStyle name="Note 2 12" xfId="1093" xr:uid="{72446F8F-CF3A-4028-B5D1-7637A09540A9}"/>
    <cellStyle name="Note 2 12 2" xfId="1094" xr:uid="{0618ABE3-6974-4623-A4A3-BD5E782A1BC9}"/>
    <cellStyle name="Note 2 13" xfId="1095" xr:uid="{740C9392-05F2-4BCA-BD25-C8CD01D79FD2}"/>
    <cellStyle name="Note 2 13 2" xfId="1096" xr:uid="{F5915214-5028-4CF7-A20B-DAC429AECCFD}"/>
    <cellStyle name="Note 2 14" xfId="1097" xr:uid="{87167F0B-A921-485F-824D-918495B28180}"/>
    <cellStyle name="Note 2 14 2" xfId="1098" xr:uid="{088F1FED-B727-487C-BB68-2CC2B53E4FB2}"/>
    <cellStyle name="Note 2 15" xfId="1099" xr:uid="{0EE40073-5496-4072-AFBA-E257BA07E969}"/>
    <cellStyle name="Note 2 15 2" xfId="1100" xr:uid="{0A1CBEB9-51E5-4B92-82D1-56877311522B}"/>
    <cellStyle name="Note 2 16" xfId="1101" xr:uid="{E2921A22-B719-447B-8E5E-93E11464C35C}"/>
    <cellStyle name="Note 2 16 2" xfId="1102" xr:uid="{4A20460B-8600-4267-B473-BB6E270FCED7}"/>
    <cellStyle name="Note 2 17" xfId="1103" xr:uid="{E417720D-BC87-4428-A206-1B6370565D3B}"/>
    <cellStyle name="Note 2 17 2" xfId="1104" xr:uid="{EE7195B1-D9DA-43B4-8FA8-0FE58F146A59}"/>
    <cellStyle name="Note 2 18" xfId="1105" xr:uid="{14CD6986-634F-43FA-ABEA-347F390B94C8}"/>
    <cellStyle name="Note 2 18 2" xfId="1106" xr:uid="{70942AA9-62BB-44F6-B9C4-8F4DE39B3720}"/>
    <cellStyle name="Note 2 19" xfId="1107" xr:uid="{71B98610-8E2F-40EF-9377-2FCF7B8B0256}"/>
    <cellStyle name="Note 2 19 2" xfId="1108" xr:uid="{125A928A-CEA4-46C4-AEB1-56051AD5739A}"/>
    <cellStyle name="Note 2 2" xfId="1109" xr:uid="{AF5DD077-C3C5-47C8-8BA0-D1C72831D81A}"/>
    <cellStyle name="Note 2 2 2" xfId="1110" xr:uid="{E753A43D-49A9-419E-BF90-58830216C062}"/>
    <cellStyle name="Note 2 20" xfId="1111" xr:uid="{CB02A5C4-7854-4628-83C7-3E916D56A803}"/>
    <cellStyle name="Note 2 20 2" xfId="1112" xr:uid="{673644AC-7D0A-4930-94C0-7CCD5CA143DE}"/>
    <cellStyle name="Note 2 21" xfId="1113" xr:uid="{B4294ACE-AE69-441C-829F-B935C57F09D6}"/>
    <cellStyle name="Note 2 21 2" xfId="1114" xr:uid="{0AE9E4AA-5D0C-4274-A262-7F0F52EBEEDB}"/>
    <cellStyle name="Note 2 22" xfId="1115" xr:uid="{1EB7A965-5596-4AC2-87A3-65ED8CDD94D3}"/>
    <cellStyle name="Note 2 22 2" xfId="1116" xr:uid="{444459BF-0DD2-4229-800D-ED74BB28E55A}"/>
    <cellStyle name="Note 2 23" xfId="1117" xr:uid="{1C6B3A34-667D-4BE3-9A76-2E590498D01A}"/>
    <cellStyle name="Note 2 3" xfId="1118" xr:uid="{2404DC65-D64B-457F-9068-142EA943849F}"/>
    <cellStyle name="Note 2 3 2" xfId="1119" xr:uid="{FFAFD4F6-6B4F-488A-AAC8-CF1390A0EFC1}"/>
    <cellStyle name="Note 2 4" xfId="1120" xr:uid="{AA3E8178-5DB2-42FE-911F-85AF214F4749}"/>
    <cellStyle name="Note 2 4 2" xfId="1121" xr:uid="{CC7D4B06-169D-45E2-866C-C31B925CA38A}"/>
    <cellStyle name="Note 2 5" xfId="1122" xr:uid="{64EE0B37-DB58-4C5D-A8E7-7AE7AECA6730}"/>
    <cellStyle name="Note 2 5 2" xfId="1123" xr:uid="{EF5C0972-FDBD-45C4-BB54-A2D6151B8329}"/>
    <cellStyle name="Note 2 6" xfId="1124" xr:uid="{C401A252-A5F8-4EA8-85AA-A2F0EB2E5DBC}"/>
    <cellStyle name="Note 2 6 2" xfId="1125" xr:uid="{B003B2F1-141D-4513-BDEA-184004FC48A2}"/>
    <cellStyle name="Note 2 7" xfId="1126" xr:uid="{05D5BA59-7602-4C77-95F1-B75AEE1E7687}"/>
    <cellStyle name="Note 2 7 2" xfId="1127" xr:uid="{B179DDD8-7439-41B9-AE05-EE484FBDCE3E}"/>
    <cellStyle name="Note 2 8" xfId="1128" xr:uid="{1DAC1B71-E7CC-40FB-B97D-C82BA2A06FCD}"/>
    <cellStyle name="Note 2 8 2" xfId="1129" xr:uid="{DFA33F1B-6F96-471A-8FD2-16F93889E01F}"/>
    <cellStyle name="Note 2 9" xfId="1130" xr:uid="{D61F6A4F-9037-4B6A-BE30-7243A82E74A5}"/>
    <cellStyle name="Note 2 9 2" xfId="1131" xr:uid="{CDAA6901-DAD2-4F79-B953-14F4F5BBB61D}"/>
    <cellStyle name="Note 20" xfId="1132" xr:uid="{F0A50BCD-9441-41E2-98C2-00561E67257A}"/>
    <cellStyle name="Note 20 2" xfId="1133" xr:uid="{DE63E099-8D73-484A-B644-A46345D22F8F}"/>
    <cellStyle name="Note 21" xfId="1134" xr:uid="{7FC7B164-ED8D-4D9D-86A4-41848EADA6E5}"/>
    <cellStyle name="Note 21 2" xfId="1135" xr:uid="{DACD5897-5013-4FD4-9485-8825C68BF061}"/>
    <cellStyle name="Note 22" xfId="1136" xr:uid="{2CA220AF-4715-416B-A1F4-DEE9FE615579}"/>
    <cellStyle name="Note 22 2" xfId="1137" xr:uid="{56470D5C-A5DF-4FBF-88E5-DBF6406FEA93}"/>
    <cellStyle name="Note 23" xfId="1138" xr:uid="{AA53DD1C-ADF2-4103-8661-8766F3B2F936}"/>
    <cellStyle name="Note 23 2" xfId="1139" xr:uid="{5CE7225E-9847-4B4F-877E-71B9E8989F86}"/>
    <cellStyle name="Note 24" xfId="1140" xr:uid="{7AA63F26-8E35-4385-A963-4C09B2A6734F}"/>
    <cellStyle name="Note 24 2" xfId="1141" xr:uid="{1120B5A6-C4B7-4BED-9A84-38A4410AD74F}"/>
    <cellStyle name="Note 25" xfId="1142" xr:uid="{A2C6B305-FAD8-48E3-87C3-726F442DC078}"/>
    <cellStyle name="Note 25 2" xfId="1143" xr:uid="{6C7170E7-1A30-4348-A07A-B14F29AA598C}"/>
    <cellStyle name="Note 26" xfId="1144" xr:uid="{7444AA9F-43EA-44EC-BF45-87F253F1FA80}"/>
    <cellStyle name="Note 26 2" xfId="1145" xr:uid="{A34CFD2E-4B68-4637-A007-665CD2B4FE53}"/>
    <cellStyle name="Note 27" xfId="1146" xr:uid="{5A41ACE7-7285-4275-B1CF-62E9A2655CF9}"/>
    <cellStyle name="Note 27 2" xfId="1147" xr:uid="{3794D909-8DF3-4F57-B27D-511C369E548E}"/>
    <cellStyle name="Note 28" xfId="1148" xr:uid="{747709A9-B7AC-48B9-A61E-C73A08234078}"/>
    <cellStyle name="Note 28 2" xfId="1149" xr:uid="{91B940DE-6977-4293-AED9-FE9464313944}"/>
    <cellStyle name="Note 29" xfId="1150" xr:uid="{78CD9755-91C9-42F6-B672-8528CE9D68D6}"/>
    <cellStyle name="Note 29 2" xfId="1151" xr:uid="{1E95C1D9-BDE4-4934-8F3D-A8EB9CADB8C4}"/>
    <cellStyle name="Note 3" xfId="1152" xr:uid="{2A4D7CEF-4550-4C14-98DF-7E1AD5C08D3F}"/>
    <cellStyle name="Note 3 10" xfId="1153" xr:uid="{92A811F7-C746-4400-B9E0-87A08150AE36}"/>
    <cellStyle name="Note 3 10 2" xfId="1154" xr:uid="{78DD8523-02B5-4BB0-9017-39F5AFD60685}"/>
    <cellStyle name="Note 3 11" xfId="1155" xr:uid="{D4B085E1-6399-4AC1-AE62-40928173DF04}"/>
    <cellStyle name="Note 3 11 2" xfId="1156" xr:uid="{4F028A80-8979-41D7-AF36-31A695F3085A}"/>
    <cellStyle name="Note 3 12" xfId="1157" xr:uid="{B85DF2D4-F35E-449A-B3F8-E9E5E3364629}"/>
    <cellStyle name="Note 3 12 2" xfId="1158" xr:uid="{12195F52-3432-42DC-83A8-85DB0C73C4A0}"/>
    <cellStyle name="Note 3 13" xfId="1159" xr:uid="{D3616CCB-0D77-42F8-A644-20CCE0FE9574}"/>
    <cellStyle name="Note 3 13 2" xfId="1160" xr:uid="{A2B86F4A-8502-4C88-8EFF-ADD2EFBC2CED}"/>
    <cellStyle name="Note 3 14" xfId="1161" xr:uid="{38D9E5EE-C482-4B03-B6B8-98416B878DDE}"/>
    <cellStyle name="Note 3 14 2" xfId="1162" xr:uid="{3D5B1734-01E1-49C6-BA4E-544A79BA4557}"/>
    <cellStyle name="Note 3 15" xfId="1163" xr:uid="{9E908507-7910-4AF2-A091-5B50B4A0FE49}"/>
    <cellStyle name="Note 3 15 2" xfId="1164" xr:uid="{55F4E59D-8649-4305-95BF-04FAE51E3647}"/>
    <cellStyle name="Note 3 16" xfId="1165" xr:uid="{DDA22674-0EF7-4B7C-AD07-F99BFCD33099}"/>
    <cellStyle name="Note 3 16 2" xfId="1166" xr:uid="{C9226EBE-9C11-4153-95D1-9AD5E0117B10}"/>
    <cellStyle name="Note 3 17" xfId="1167" xr:uid="{7C43E684-F271-4AF0-8C43-36F94A7374CB}"/>
    <cellStyle name="Note 3 17 2" xfId="1168" xr:uid="{E458FB90-A939-4F87-930D-C63677117ECF}"/>
    <cellStyle name="Note 3 18" xfId="1169" xr:uid="{FA0B12AD-C131-4C0F-A917-9052780BE1A2}"/>
    <cellStyle name="Note 3 18 2" xfId="1170" xr:uid="{236CE4E2-CE1A-468A-B739-B48A00DB5B32}"/>
    <cellStyle name="Note 3 19" xfId="1171" xr:uid="{C9E059BC-A3D3-4961-9421-AFD6F581B41C}"/>
    <cellStyle name="Note 3 19 2" xfId="1172" xr:uid="{3139ABAD-EBD0-436A-AACA-778B0C3C56F7}"/>
    <cellStyle name="Note 3 2" xfId="1173" xr:uid="{016843A3-0C19-4522-B4EF-0A6BEF3687B1}"/>
    <cellStyle name="Note 3 2 2" xfId="1174" xr:uid="{10894109-50DB-4649-BFB7-A441A677DC85}"/>
    <cellStyle name="Note 3 20" xfId="1175" xr:uid="{BE75F98D-C815-4ACB-9FF6-37A8BD6E356F}"/>
    <cellStyle name="Note 3 20 2" xfId="1176" xr:uid="{153BE409-EABF-4493-B7F0-59246E2EB86E}"/>
    <cellStyle name="Note 3 21" xfId="1177" xr:uid="{3B979120-F08E-4B20-A1C1-D79C40664212}"/>
    <cellStyle name="Note 3 21 2" xfId="1178" xr:uid="{B8986B9E-D503-467A-9759-D8BF60246CD0}"/>
    <cellStyle name="Note 3 22" xfId="1179" xr:uid="{DAE89919-DE88-46B8-B7EE-EA09480C98B1}"/>
    <cellStyle name="Note 3 22 2" xfId="1180" xr:uid="{D99B1CC0-EE33-4BCC-93AA-4B56BB418A90}"/>
    <cellStyle name="Note 3 23" xfId="1181" xr:uid="{EA6CEA98-916C-49E9-9C67-A4F27682E196}"/>
    <cellStyle name="Note 3 3" xfId="1182" xr:uid="{E229BF63-9998-4CFF-A5F5-49E4A9157BB8}"/>
    <cellStyle name="Note 3 3 2" xfId="1183" xr:uid="{6E0DF112-9141-4937-97FF-2A6984819451}"/>
    <cellStyle name="Note 3 4" xfId="1184" xr:uid="{3D385DDD-BDDC-47DA-87B2-EB21C0AF1212}"/>
    <cellStyle name="Note 3 4 2" xfId="1185" xr:uid="{D7EEB5EA-DA36-42C7-9EAA-806B37DBDDF1}"/>
    <cellStyle name="Note 3 5" xfId="1186" xr:uid="{85DCD2EB-61D5-4A8A-BC30-31F1FCE10DCC}"/>
    <cellStyle name="Note 3 5 2" xfId="1187" xr:uid="{3FBCCB46-E874-4C6A-864A-88F64BAB77B9}"/>
    <cellStyle name="Note 3 6" xfId="1188" xr:uid="{25666D42-ADEA-4EB2-B592-8E2D3B3662A5}"/>
    <cellStyle name="Note 3 6 2" xfId="1189" xr:uid="{3A9CFAD5-762D-4828-A387-1DC6CAAC6D64}"/>
    <cellStyle name="Note 3 7" xfId="1190" xr:uid="{2E7F8874-1B2F-4728-9F6F-68D27BFE0649}"/>
    <cellStyle name="Note 3 7 2" xfId="1191" xr:uid="{9715AE8C-FF5A-4A6F-87D6-16237ABB77CA}"/>
    <cellStyle name="Note 3 8" xfId="1192" xr:uid="{77E67BE2-A71B-4A84-BD06-7FAE14A5795D}"/>
    <cellStyle name="Note 3 8 2" xfId="1193" xr:uid="{F6F37802-E10B-437B-B6B2-A9224A3EDAFD}"/>
    <cellStyle name="Note 3 9" xfId="1194" xr:uid="{DD6673E8-3F8E-4513-AA1A-B64A561634E9}"/>
    <cellStyle name="Note 3 9 2" xfId="1195" xr:uid="{7D6BA624-7808-48AD-AC7A-3C1C32F4007B}"/>
    <cellStyle name="Note 30" xfId="1196" xr:uid="{A523D5CF-7D7E-4095-883F-C0BE1B4CBD35}"/>
    <cellStyle name="Note 30 2" xfId="1197" xr:uid="{E0D82A69-E190-4AB4-984E-825E3B39A545}"/>
    <cellStyle name="Note 31" xfId="1198" xr:uid="{C85964D9-BC79-45FB-8B1A-70245AF8BBD7}"/>
    <cellStyle name="Note 31 2" xfId="1199" xr:uid="{CE4B95FB-1593-4181-9B87-5D42AA63BC43}"/>
    <cellStyle name="Note 32" xfId="1200" xr:uid="{3C5F221D-3061-4A66-B830-D708516EE8D7}"/>
    <cellStyle name="Note 33" xfId="1201" xr:uid="{1EF9335F-719F-4A4C-B73D-08458B6A1ACB}"/>
    <cellStyle name="Note 4" xfId="1202" xr:uid="{35CCE641-053D-4F6C-B3A2-F46A38AB4FA7}"/>
    <cellStyle name="Note 4 10" xfId="1203" xr:uid="{6A0286E6-9838-4F1D-AAC4-CF6E5BE35B67}"/>
    <cellStyle name="Note 4 10 2" xfId="1204" xr:uid="{E6013795-1C3D-4715-9B50-DDCF9B1E9195}"/>
    <cellStyle name="Note 4 11" xfId="1205" xr:uid="{578FF095-3422-48F6-801E-EA047CC1822B}"/>
    <cellStyle name="Note 4 11 2" xfId="1206" xr:uid="{295CF63F-D424-46BD-BE9A-3E0513B22683}"/>
    <cellStyle name="Note 4 12" xfId="1207" xr:uid="{867684FD-B644-4204-B91D-0A92E8C0BF99}"/>
    <cellStyle name="Note 4 12 2" xfId="1208" xr:uid="{D2869F00-FF31-4A0E-B1C4-B3ABFB103A8C}"/>
    <cellStyle name="Note 4 13" xfId="1209" xr:uid="{1A2F3AD0-380F-43DC-A7F2-0CF36514D7FF}"/>
    <cellStyle name="Note 4 13 2" xfId="1210" xr:uid="{6D9ED1AB-DE3B-45DD-9122-AB701508CE78}"/>
    <cellStyle name="Note 4 14" xfId="1211" xr:uid="{9ECE4758-5A93-4BF4-8EBC-CA2488933963}"/>
    <cellStyle name="Note 4 14 2" xfId="1212" xr:uid="{739F845B-5A96-4B29-9DCB-9A82934711D4}"/>
    <cellStyle name="Note 4 15" xfId="1213" xr:uid="{E6C233E9-5FFF-4F97-A562-33C3018F3BB9}"/>
    <cellStyle name="Note 4 15 2" xfId="1214" xr:uid="{D9182BB2-CAD7-4D7F-A41A-9C47B3797273}"/>
    <cellStyle name="Note 4 16" xfId="1215" xr:uid="{E571D142-EB16-4807-9611-C35CE1CD5C5C}"/>
    <cellStyle name="Note 4 16 2" xfId="1216" xr:uid="{FF1C629B-D89B-4993-9B79-648369017CD0}"/>
    <cellStyle name="Note 4 17" xfId="1217" xr:uid="{3F706086-7007-4297-B289-78963C2F71F9}"/>
    <cellStyle name="Note 4 17 2" xfId="1218" xr:uid="{EE5D6DDE-81DC-4F59-8DB2-66F146B4A0B6}"/>
    <cellStyle name="Note 4 18" xfId="1219" xr:uid="{1A287A47-2466-4E2D-AD9A-7780FA9BD793}"/>
    <cellStyle name="Note 4 18 2" xfId="1220" xr:uid="{1E6A8F3E-C686-447B-A966-406BB2A4E1D8}"/>
    <cellStyle name="Note 4 19" xfId="1221" xr:uid="{D33E4EA6-083B-4EED-BEDD-AE042C612E96}"/>
    <cellStyle name="Note 4 19 2" xfId="1222" xr:uid="{6AA81443-1A16-41E3-B35B-8076AE37890D}"/>
    <cellStyle name="Note 4 2" xfId="1223" xr:uid="{CF234602-91A3-4CA5-8601-91DFD5B1A296}"/>
    <cellStyle name="Note 4 2 2" xfId="1224" xr:uid="{DA22DC19-B185-42A9-ACB4-5420C3D9C897}"/>
    <cellStyle name="Note 4 20" xfId="1225" xr:uid="{CCADF9B1-6977-43AB-B36B-9EB284BEC331}"/>
    <cellStyle name="Note 4 20 2" xfId="1226" xr:uid="{5C05FDF3-6857-47A5-BF86-F33FAA8154EA}"/>
    <cellStyle name="Note 4 21" xfId="1227" xr:uid="{34CAA30B-738B-44AC-9A86-B01A98B6EBD5}"/>
    <cellStyle name="Note 4 21 2" xfId="1228" xr:uid="{6B16C5DD-B18B-4A3D-AEE7-2E641035B557}"/>
    <cellStyle name="Note 4 22" xfId="1229" xr:uid="{9DD62A67-5837-44AD-AA17-19FF35AA8840}"/>
    <cellStyle name="Note 4 22 2" xfId="1230" xr:uid="{86DE21B1-C715-462B-A81A-BFB126BC1AE4}"/>
    <cellStyle name="Note 4 23" xfId="1231" xr:uid="{B174AE16-78E8-4133-BBD7-07F7CA6CAF18}"/>
    <cellStyle name="Note 4 3" xfId="1232" xr:uid="{81D47CBD-AC11-4383-8262-F703E08B2AB1}"/>
    <cellStyle name="Note 4 3 2" xfId="1233" xr:uid="{D206FF11-C2EC-47D5-8D65-473DA456883A}"/>
    <cellStyle name="Note 4 4" xfId="1234" xr:uid="{10985E3B-122C-4B24-B937-EF7A86EB1CFE}"/>
    <cellStyle name="Note 4 4 2" xfId="1235" xr:uid="{CD399305-A943-4B93-918E-13DF10BF5F74}"/>
    <cellStyle name="Note 4 5" xfId="1236" xr:uid="{0B48D81B-9C62-4FC6-BCC3-4C9A278B2B54}"/>
    <cellStyle name="Note 4 5 2" xfId="1237" xr:uid="{96215A63-1450-48B6-95DE-211F67C127A0}"/>
    <cellStyle name="Note 4 6" xfId="1238" xr:uid="{84EF02E5-55D1-4C3A-8104-78EDCED28194}"/>
    <cellStyle name="Note 4 6 2" xfId="1239" xr:uid="{88211225-1AE2-4561-AC9D-FFE5E4CD483F}"/>
    <cellStyle name="Note 4 7" xfId="1240" xr:uid="{EF866FB3-3B36-48F4-B331-429C8AEEB233}"/>
    <cellStyle name="Note 4 7 2" xfId="1241" xr:uid="{67F58C89-2770-4CDF-A1DF-0F03C4D1C66E}"/>
    <cellStyle name="Note 4 8" xfId="1242" xr:uid="{9AB56CCB-35DC-4019-927A-18566E60B081}"/>
    <cellStyle name="Note 4 8 2" xfId="1243" xr:uid="{EC25E43A-1E1E-47DC-B007-E83EB30678EB}"/>
    <cellStyle name="Note 4 9" xfId="1244" xr:uid="{DA685F5B-9A38-4B1D-B30E-36704DEB6001}"/>
    <cellStyle name="Note 4 9 2" xfId="1245" xr:uid="{584C6790-566D-4BFF-AF6B-9478F5E28A65}"/>
    <cellStyle name="Note 5" xfId="1246" xr:uid="{FCFCEB6E-67B6-4FAE-92B1-005984C5C715}"/>
    <cellStyle name="Note 5 10" xfId="1247" xr:uid="{DCBC6887-6AA0-4CB1-8555-57F5C1DDC72C}"/>
    <cellStyle name="Note 5 10 2" xfId="1248" xr:uid="{CDD1D5F6-9AD5-410F-9A6A-34667483778A}"/>
    <cellStyle name="Note 5 11" xfId="1249" xr:uid="{B930D88F-2BD3-40BF-9B06-ACF505BE0EF9}"/>
    <cellStyle name="Note 5 11 2" xfId="1250" xr:uid="{7B32149E-7BB1-4DD3-A76D-204D534D1D53}"/>
    <cellStyle name="Note 5 12" xfId="1251" xr:uid="{8B8889A6-0CA6-4CB1-9EE5-979A819884B6}"/>
    <cellStyle name="Note 5 12 2" xfId="1252" xr:uid="{A46107E7-1083-4232-984F-FAA3D64528F6}"/>
    <cellStyle name="Note 5 13" xfId="1253" xr:uid="{7FA202BF-4777-4973-BC6C-3971FF58DAB2}"/>
    <cellStyle name="Note 5 13 2" xfId="1254" xr:uid="{95535489-D156-4D77-9BF5-81925935D9A6}"/>
    <cellStyle name="Note 5 14" xfId="1255" xr:uid="{5D74CBF7-632A-4094-82EA-42E8A2668CFF}"/>
    <cellStyle name="Note 5 14 2" xfId="1256" xr:uid="{D871859C-10DD-4670-B6E2-CC5E48CA5849}"/>
    <cellStyle name="Note 5 15" xfId="1257" xr:uid="{67908363-5C6C-40AC-BADD-1C82BCD69411}"/>
    <cellStyle name="Note 5 15 2" xfId="1258" xr:uid="{8DAACCE7-5108-45BE-8C09-48839D30185B}"/>
    <cellStyle name="Note 5 16" xfId="1259" xr:uid="{0BE6EE19-9D96-4CCA-B56D-9ECFA8FBD63D}"/>
    <cellStyle name="Note 5 16 2" xfId="1260" xr:uid="{CED8BB30-632F-41D3-A3B9-AF5C96C8ABFD}"/>
    <cellStyle name="Note 5 17" xfId="1261" xr:uid="{53FFA5A0-AAC1-4B5C-A011-E476ABD44397}"/>
    <cellStyle name="Note 5 17 2" xfId="1262" xr:uid="{B8B1B8D3-F217-4B9C-9B5D-29662476AF2A}"/>
    <cellStyle name="Note 5 18" xfId="1263" xr:uid="{D5407D10-C5F3-44A9-B53C-1D3A630FDCE2}"/>
    <cellStyle name="Note 5 18 2" xfId="1264" xr:uid="{336B2243-6732-4A88-A5EE-FDEA8867080F}"/>
    <cellStyle name="Note 5 19" xfId="1265" xr:uid="{3D0E73D3-C0A5-4F7A-9686-3714C40D8F04}"/>
    <cellStyle name="Note 5 19 2" xfId="1266" xr:uid="{28C1744D-02BA-4BC7-A345-6C6052DFC36C}"/>
    <cellStyle name="Note 5 2" xfId="1267" xr:uid="{DC4A7025-4117-46D4-9D90-926729BAB45B}"/>
    <cellStyle name="Note 5 2 2" xfId="1268" xr:uid="{39003878-5F16-4FCB-AA37-E5BE46A941FB}"/>
    <cellStyle name="Note 5 20" xfId="1269" xr:uid="{26426640-9EF9-4230-B588-155B3F6D1CA0}"/>
    <cellStyle name="Note 5 20 2" xfId="1270" xr:uid="{B1C17A41-CA75-410D-B917-2925EB4208EC}"/>
    <cellStyle name="Note 5 21" xfId="1271" xr:uid="{73642D67-B102-48ED-8CB8-D377D0FC2FB6}"/>
    <cellStyle name="Note 5 21 2" xfId="1272" xr:uid="{AA7A9E6D-BBF5-47E0-A687-4439C6090362}"/>
    <cellStyle name="Note 5 22" xfId="1273" xr:uid="{94DD1598-1B13-43CA-8E78-21F51FD1C18F}"/>
    <cellStyle name="Note 5 22 2" xfId="1274" xr:uid="{5F2DE2CF-B961-4E34-9DFA-22C501C05EA3}"/>
    <cellStyle name="Note 5 23" xfId="1275" xr:uid="{3CF46820-5903-4E68-B5AE-70A9F5682BDF}"/>
    <cellStyle name="Note 5 3" xfId="1276" xr:uid="{AD02DE68-547A-4F94-949A-FC8667BE5AC2}"/>
    <cellStyle name="Note 5 3 2" xfId="1277" xr:uid="{FAD0750D-591E-4809-98C1-B5B3107D2A59}"/>
    <cellStyle name="Note 5 4" xfId="1278" xr:uid="{A32BB297-96B4-4E99-8404-ED3EC22EFBF0}"/>
    <cellStyle name="Note 5 4 2" xfId="1279" xr:uid="{78F108FE-682B-44DF-AB04-499CFCA13062}"/>
    <cellStyle name="Note 5 5" xfId="1280" xr:uid="{539F402F-4655-4AB8-BA68-779388360E24}"/>
    <cellStyle name="Note 5 5 2" xfId="1281" xr:uid="{87C36D90-B845-47CE-B582-D22C616160CB}"/>
    <cellStyle name="Note 5 6" xfId="1282" xr:uid="{688463A4-3150-4059-862D-E7F1B7E7EA56}"/>
    <cellStyle name="Note 5 6 2" xfId="1283" xr:uid="{EC7428AF-7CCD-4A52-8EAB-EA77E327A1A6}"/>
    <cellStyle name="Note 5 7" xfId="1284" xr:uid="{16FBB910-678B-43CB-B11B-7D77F517BDE6}"/>
    <cellStyle name="Note 5 7 2" xfId="1285" xr:uid="{D4D75BDF-CD23-476F-B88C-A11DEF53CC6E}"/>
    <cellStyle name="Note 5 8" xfId="1286" xr:uid="{D7F2D37B-A669-41BC-81F4-768958D5BE20}"/>
    <cellStyle name="Note 5 8 2" xfId="1287" xr:uid="{F11B53FD-2148-453B-A198-381EA260D585}"/>
    <cellStyle name="Note 5 9" xfId="1288" xr:uid="{CE3A51C3-B5D6-49CA-82BA-6CBF9C6FAAD8}"/>
    <cellStyle name="Note 5 9 2" xfId="1289" xr:uid="{5209FF1A-D0CE-4833-8BD2-B38267AF8A23}"/>
    <cellStyle name="Note 6" xfId="1290" xr:uid="{A38DA16C-6509-4424-8037-91CA358D9EE1}"/>
    <cellStyle name="Note 6 10" xfId="1291" xr:uid="{4DA542FB-A1A9-4B04-AF6A-B8E4826FA27E}"/>
    <cellStyle name="Note 6 10 2" xfId="1292" xr:uid="{1FB48FBA-28B4-49EC-98D9-98216B01B005}"/>
    <cellStyle name="Note 6 11" xfId="1293" xr:uid="{2EAF830D-737E-4170-BAB1-8F5BBE4B169C}"/>
    <cellStyle name="Note 6 11 2" xfId="1294" xr:uid="{15B8ADD8-D59D-4B95-93F4-65921925B9B8}"/>
    <cellStyle name="Note 6 12" xfId="1295" xr:uid="{D469A5FC-A88B-458F-85AA-B5322B977EB2}"/>
    <cellStyle name="Note 6 12 2" xfId="1296" xr:uid="{11E73412-982B-48C7-A9D1-675DD3193A72}"/>
    <cellStyle name="Note 6 13" xfId="1297" xr:uid="{8E12C5F8-A2AC-465B-8FF7-55D119AEF648}"/>
    <cellStyle name="Note 6 13 2" xfId="1298" xr:uid="{C28924CF-840D-494D-8D70-BDC879B0F546}"/>
    <cellStyle name="Note 6 14" xfId="1299" xr:uid="{F0219F12-8AFF-475C-8BB9-EA6A4E365FA0}"/>
    <cellStyle name="Note 6 14 2" xfId="1300" xr:uid="{69E191E6-1810-4E16-8F79-2CB9647F3822}"/>
    <cellStyle name="Note 6 15" xfId="1301" xr:uid="{6E53EB99-6221-47AD-BEDD-F53BB2909F95}"/>
    <cellStyle name="Note 6 15 2" xfId="1302" xr:uid="{F86E5776-7CAF-4958-958E-7E78D6344236}"/>
    <cellStyle name="Note 6 16" xfId="1303" xr:uid="{6CF122E9-5F7E-44AE-B64E-B1C175696ABE}"/>
    <cellStyle name="Note 6 16 2" xfId="1304" xr:uid="{90697E60-9033-4C04-B157-62E183425418}"/>
    <cellStyle name="Note 6 17" xfId="1305" xr:uid="{71134AE8-CD5A-4842-BF20-3F8DE9B93205}"/>
    <cellStyle name="Note 6 17 2" xfId="1306" xr:uid="{7A646082-E33A-4D8D-83DF-60FED9E9533E}"/>
    <cellStyle name="Note 6 18" xfId="1307" xr:uid="{D344F9B1-9031-4437-BFE6-DD63EE90B6D1}"/>
    <cellStyle name="Note 6 18 2" xfId="1308" xr:uid="{767FFF86-FE4D-4FC6-B7A8-C1D00E6723C9}"/>
    <cellStyle name="Note 6 19" xfId="1309" xr:uid="{570E89AF-4E7C-456B-9521-983DDB416731}"/>
    <cellStyle name="Note 6 19 2" xfId="1310" xr:uid="{6F7E272F-6F9B-4FA3-949D-1D02EE605604}"/>
    <cellStyle name="Note 6 2" xfId="1311" xr:uid="{BBC7AF95-9FD6-4CFB-B5D1-E73022E9500F}"/>
    <cellStyle name="Note 6 2 2" xfId="1312" xr:uid="{3A647AD3-713D-4982-97B0-C26BB6FFCC07}"/>
    <cellStyle name="Note 6 20" xfId="1313" xr:uid="{BCC5B938-EC36-4E63-82EF-0F500F160C09}"/>
    <cellStyle name="Note 6 20 2" xfId="1314" xr:uid="{0207D48C-1F04-4577-9BE7-EE27DE859BD6}"/>
    <cellStyle name="Note 6 21" xfId="1315" xr:uid="{70AF8E0F-EFC5-42C9-909B-94A662C96CB8}"/>
    <cellStyle name="Note 6 21 2" xfId="1316" xr:uid="{1145A190-480F-4E98-BD46-8039D5F847AD}"/>
    <cellStyle name="Note 6 22" xfId="1317" xr:uid="{072204A7-DBEC-476A-AE16-988BB89D55CC}"/>
    <cellStyle name="Note 6 22 2" xfId="1318" xr:uid="{80DD47A8-0418-4E3D-88D3-2E880CC3A68B}"/>
    <cellStyle name="Note 6 23" xfId="1319" xr:uid="{83AC82D4-87A0-410E-9E60-18C58E3A1FB8}"/>
    <cellStyle name="Note 6 3" xfId="1320" xr:uid="{C802B56F-1E08-426E-A605-404108A06156}"/>
    <cellStyle name="Note 6 3 2" xfId="1321" xr:uid="{319331D4-A9D1-44F0-B858-A7AA5D37B815}"/>
    <cellStyle name="Note 6 4" xfId="1322" xr:uid="{564BCED1-AB2F-472A-9FAC-195E916A83A8}"/>
    <cellStyle name="Note 6 4 2" xfId="1323" xr:uid="{3DFECD0F-D4F4-4B75-9464-FF2EB61F684D}"/>
    <cellStyle name="Note 6 5" xfId="1324" xr:uid="{395CD962-1B38-4962-BE8D-364B2465DB68}"/>
    <cellStyle name="Note 6 5 2" xfId="1325" xr:uid="{4CA58BEB-4EC8-49D5-A570-70CFA244C238}"/>
    <cellStyle name="Note 6 6" xfId="1326" xr:uid="{86AD192F-3118-4593-B107-DD010186DFE3}"/>
    <cellStyle name="Note 6 6 2" xfId="1327" xr:uid="{663143B1-950B-4863-B971-9023AE14012C}"/>
    <cellStyle name="Note 6 7" xfId="1328" xr:uid="{49A06074-C238-4139-95DF-D9127FF876EC}"/>
    <cellStyle name="Note 6 7 2" xfId="1329" xr:uid="{11BE2A8C-3B90-4F8A-ACDF-DD9AF63A72ED}"/>
    <cellStyle name="Note 6 8" xfId="1330" xr:uid="{BE3126EF-ED5D-438C-B3FE-FC2A73ED3A7A}"/>
    <cellStyle name="Note 6 8 2" xfId="1331" xr:uid="{24451E06-8A84-4355-9B1E-A30D60CB70DB}"/>
    <cellStyle name="Note 6 9" xfId="1332" xr:uid="{A2C13793-3365-4DBD-9EED-7B6412AE740E}"/>
    <cellStyle name="Note 6 9 2" xfId="1333" xr:uid="{0BB06353-F345-4A69-8245-8758D46355FC}"/>
    <cellStyle name="Note 7" xfId="1334" xr:uid="{66720960-0C7D-4C77-9962-CF0F8C880591}"/>
    <cellStyle name="Note 7 10" xfId="1335" xr:uid="{2572D8F9-EC66-4A6E-BC29-4F0A2E276871}"/>
    <cellStyle name="Note 7 10 2" xfId="1336" xr:uid="{CB40D38A-4A02-49A0-854B-B032AA6A6813}"/>
    <cellStyle name="Note 7 11" xfId="1337" xr:uid="{65FDB82D-9240-4A0B-914F-995A05BF9968}"/>
    <cellStyle name="Note 7 11 2" xfId="1338" xr:uid="{39EA55E3-45B4-4B32-AD6E-A7F6E06FC9F5}"/>
    <cellStyle name="Note 7 12" xfId="1339" xr:uid="{0D10D4C9-3EAF-498F-8507-507E6231871C}"/>
    <cellStyle name="Note 7 12 2" xfId="1340" xr:uid="{3A15F403-C5DE-4692-B22E-890FBDA8C3EA}"/>
    <cellStyle name="Note 7 13" xfId="1341" xr:uid="{CDAF71AB-4ADC-4CAF-8B69-CFE84881AF28}"/>
    <cellStyle name="Note 7 13 2" xfId="1342" xr:uid="{D193F885-80D5-4828-A3BA-F165484F96C5}"/>
    <cellStyle name="Note 7 14" xfId="1343" xr:uid="{AA6E9E27-DE44-4C43-8DF5-9EC7059BF6AA}"/>
    <cellStyle name="Note 7 14 2" xfId="1344" xr:uid="{F901DB42-E0DC-41C2-A932-15C7990DDD93}"/>
    <cellStyle name="Note 7 15" xfId="1345" xr:uid="{EA7985FC-4157-46C2-9E03-BFAB2991FAB5}"/>
    <cellStyle name="Note 7 15 2" xfId="1346" xr:uid="{E25D7336-1EA8-4938-B5A4-5B78516D10FF}"/>
    <cellStyle name="Note 7 16" xfId="1347" xr:uid="{DA8B4CA2-2224-4426-8B30-5D2D23640573}"/>
    <cellStyle name="Note 7 16 2" xfId="1348" xr:uid="{D9C1AB69-0B2C-4F1A-A74B-438AD92BDE0E}"/>
    <cellStyle name="Note 7 17" xfId="1349" xr:uid="{9E5FFE31-F514-473B-89E9-FB2DDFA7EB76}"/>
    <cellStyle name="Note 7 17 2" xfId="1350" xr:uid="{2D550F9A-A74A-42E1-A4EF-21EED16CE57C}"/>
    <cellStyle name="Note 7 18" xfId="1351" xr:uid="{A77AE49A-D1FC-4F88-8AF6-2A3F94DD4BFC}"/>
    <cellStyle name="Note 7 18 2" xfId="1352" xr:uid="{E912C07A-A77A-47D1-BBAD-F7316B7E8347}"/>
    <cellStyle name="Note 7 19" xfId="1353" xr:uid="{03EEDE02-4E39-42CC-B9DC-88AFC11FADED}"/>
    <cellStyle name="Note 7 19 2" xfId="1354" xr:uid="{0E21AE8D-BA01-4E4D-8922-41890A75BC91}"/>
    <cellStyle name="Note 7 2" xfId="1355" xr:uid="{EA93B804-CBB4-4AC8-AF87-68DC30943FC8}"/>
    <cellStyle name="Note 7 2 2" xfId="1356" xr:uid="{CEEA4162-57BE-4406-818B-C7A0CF03AC8F}"/>
    <cellStyle name="Note 7 20" xfId="1357" xr:uid="{CF617FD7-A43E-4342-A9EF-34224BBC4EF0}"/>
    <cellStyle name="Note 7 20 2" xfId="1358" xr:uid="{0D21918F-B41F-4862-8F6B-F5C2AE7E777E}"/>
    <cellStyle name="Note 7 21" xfId="1359" xr:uid="{DEEE94A7-3677-4531-AE52-6329F4D03281}"/>
    <cellStyle name="Note 7 21 2" xfId="1360" xr:uid="{3B3D2401-9CFF-4777-940D-3FA0007167C7}"/>
    <cellStyle name="Note 7 22" xfId="1361" xr:uid="{8A1590C4-62A7-4025-8130-48D445912DD3}"/>
    <cellStyle name="Note 7 22 2" xfId="1362" xr:uid="{DF394819-D195-4FC2-82A6-E201972C8AE1}"/>
    <cellStyle name="Note 7 23" xfId="1363" xr:uid="{D97DD37E-711F-4856-AE89-A34427E6500D}"/>
    <cellStyle name="Note 7 3" xfId="1364" xr:uid="{95A61B62-B191-484D-B094-37DC98C744FC}"/>
    <cellStyle name="Note 7 3 2" xfId="1365" xr:uid="{FB0E7732-017F-460C-9B92-86143F546F89}"/>
    <cellStyle name="Note 7 4" xfId="1366" xr:uid="{0EA2C846-6ECF-4D54-B9C6-C21F91A5EAFD}"/>
    <cellStyle name="Note 7 4 2" xfId="1367" xr:uid="{6BC6EE95-B412-4A2D-BC2E-A5A387366258}"/>
    <cellStyle name="Note 7 5" xfId="1368" xr:uid="{C09461AD-8A15-462B-9EEF-CD28EE4FC027}"/>
    <cellStyle name="Note 7 5 2" xfId="1369" xr:uid="{DDFDD7E7-5ADB-47D0-ADDC-224AEA08914C}"/>
    <cellStyle name="Note 7 6" xfId="1370" xr:uid="{D32DAAAC-2741-4DEE-A3D4-7C8DA64D8536}"/>
    <cellStyle name="Note 7 6 2" xfId="1371" xr:uid="{5EE9EAF3-09C4-4F0A-9F4B-BFCDE282FBC7}"/>
    <cellStyle name="Note 7 7" xfId="1372" xr:uid="{8F1B869C-25CC-43BE-A337-63318A1C5870}"/>
    <cellStyle name="Note 7 7 2" xfId="1373" xr:uid="{DEA7962E-7AD7-4B7E-AA25-A80ACAF76FD5}"/>
    <cellStyle name="Note 7 8" xfId="1374" xr:uid="{25B5D353-B44A-467C-A98F-7601C5CB8039}"/>
    <cellStyle name="Note 7 8 2" xfId="1375" xr:uid="{15755765-BFF9-4E3D-9959-68AF287421E5}"/>
    <cellStyle name="Note 7 9" xfId="1376" xr:uid="{2E8A99EC-9393-4102-B449-4CD75598327A}"/>
    <cellStyle name="Note 7 9 2" xfId="1377" xr:uid="{C6A4123E-9DF9-42CA-9D2B-B06EDAFE540E}"/>
    <cellStyle name="Note 8" xfId="1378" xr:uid="{C43144A4-8264-40DE-B2E1-DB5BED148F1C}"/>
    <cellStyle name="Note 8 10" xfId="1379" xr:uid="{42B4C8FC-5FEB-462E-BED7-5D5707D99A30}"/>
    <cellStyle name="Note 8 10 2" xfId="1380" xr:uid="{D5868604-52DF-4D84-90FB-A0AD519DD06F}"/>
    <cellStyle name="Note 8 11" xfId="1381" xr:uid="{0577B6AE-8F47-4C18-8059-88032A8989E9}"/>
    <cellStyle name="Note 8 11 2" xfId="1382" xr:uid="{6A4392E8-C468-4761-BC85-44CB6F4E33F4}"/>
    <cellStyle name="Note 8 12" xfId="1383" xr:uid="{14A3F720-18F9-4A47-8BD5-04E0422CECD4}"/>
    <cellStyle name="Note 8 12 2" xfId="1384" xr:uid="{9695123B-7A79-4297-9072-A166E2EDA571}"/>
    <cellStyle name="Note 8 13" xfId="1385" xr:uid="{F6C2AFFF-0F0A-44B0-BFBC-E8EC89B515A2}"/>
    <cellStyle name="Note 8 13 2" xfId="1386" xr:uid="{C8576CB1-C4D9-4935-BB92-DE3A2C04BEFF}"/>
    <cellStyle name="Note 8 14" xfId="1387" xr:uid="{66E5CBD6-E41E-447F-80C0-131C386F8FD2}"/>
    <cellStyle name="Note 8 14 2" xfId="1388" xr:uid="{B0FB94C0-8D24-4832-B0BF-B1B9E3803C2E}"/>
    <cellStyle name="Note 8 15" xfId="1389" xr:uid="{69EFD250-533F-4243-8B38-2285D71CAE84}"/>
    <cellStyle name="Note 8 15 2" xfId="1390" xr:uid="{954E7BCE-09D6-43CB-8E82-9235AD9DA913}"/>
    <cellStyle name="Note 8 16" xfId="1391" xr:uid="{95565449-45A6-4435-8BDB-73A238DDCC6B}"/>
    <cellStyle name="Note 8 16 2" xfId="1392" xr:uid="{51FAA84F-8347-4017-AD89-8815ADB54CAB}"/>
    <cellStyle name="Note 8 17" xfId="1393" xr:uid="{4536DBE8-0C1A-4618-AEEC-932EBBD13D79}"/>
    <cellStyle name="Note 8 17 2" xfId="1394" xr:uid="{4B9C670B-E0C0-4E22-B451-96E45C14AA51}"/>
    <cellStyle name="Note 8 18" xfId="1395" xr:uid="{AC4BA387-6C8D-46A9-AF96-869C4BC76100}"/>
    <cellStyle name="Note 8 18 2" xfId="1396" xr:uid="{4A4825AB-7BA3-4781-8E69-A1D0D3953639}"/>
    <cellStyle name="Note 8 19" xfId="1397" xr:uid="{1B07162F-8B1F-4DC7-B7BF-FE0F83883926}"/>
    <cellStyle name="Note 8 19 2" xfId="1398" xr:uid="{44EF8871-6643-47FB-A223-5A808FF76596}"/>
    <cellStyle name="Note 8 2" xfId="1399" xr:uid="{63788235-B92C-4ECB-A78F-86D2A9756268}"/>
    <cellStyle name="Note 8 2 2" xfId="1400" xr:uid="{B97E2E7E-69CA-46F4-B422-1D97A348277D}"/>
    <cellStyle name="Note 8 20" xfId="1401" xr:uid="{56FAA543-3708-4CC6-8AE1-0AA2EBABE199}"/>
    <cellStyle name="Note 8 20 2" xfId="1402" xr:uid="{0488FEDA-0388-4F1B-A6F3-EEFEB72C749B}"/>
    <cellStyle name="Note 8 21" xfId="1403" xr:uid="{DB0C1BFD-D7B7-4FF6-8243-8365EE2F2B04}"/>
    <cellStyle name="Note 8 21 2" xfId="1404" xr:uid="{F7CF7981-6DCE-434C-BDED-A690919A5918}"/>
    <cellStyle name="Note 8 22" xfId="1405" xr:uid="{B44C728B-E2A3-4519-8F4B-2A3533BE66A9}"/>
    <cellStyle name="Note 8 22 2" xfId="1406" xr:uid="{61F94CF1-4C74-49F7-90F1-F159E36650EA}"/>
    <cellStyle name="Note 8 23" xfId="1407" xr:uid="{477F519B-675C-4B31-9C7E-6401218D5143}"/>
    <cellStyle name="Note 8 3" xfId="1408" xr:uid="{158341D0-3B94-4713-99E7-DA081350F019}"/>
    <cellStyle name="Note 8 3 2" xfId="1409" xr:uid="{35D845D4-F485-45C3-B257-8470DF9CC60D}"/>
    <cellStyle name="Note 8 4" xfId="1410" xr:uid="{076F43CF-6956-4890-9F90-3E87F35CD5B4}"/>
    <cellStyle name="Note 8 4 2" xfId="1411" xr:uid="{D2022E77-DA24-4CEA-8DCB-2AE1BF27138D}"/>
    <cellStyle name="Note 8 5" xfId="1412" xr:uid="{2454FC81-DD52-4D65-BFB9-3AD0EA3A62F3}"/>
    <cellStyle name="Note 8 5 2" xfId="1413" xr:uid="{67B86A97-1E8E-4807-8A01-07AF5EB56EEB}"/>
    <cellStyle name="Note 8 6" xfId="1414" xr:uid="{3D1FF470-E4C3-44A8-9E9A-442C61DCA3C7}"/>
    <cellStyle name="Note 8 6 2" xfId="1415" xr:uid="{DBC012F4-B99A-4CCD-9441-35ACBD0095FD}"/>
    <cellStyle name="Note 8 7" xfId="1416" xr:uid="{3F0DA2AA-FBC1-48FC-A3F5-4BD83C645B4C}"/>
    <cellStyle name="Note 8 7 2" xfId="1417" xr:uid="{62BD359A-B6ED-4A24-B304-28EED4ED3033}"/>
    <cellStyle name="Note 8 8" xfId="1418" xr:uid="{2A81C8AA-AC65-49F4-B8AD-3C6D7936979E}"/>
    <cellStyle name="Note 8 8 2" xfId="1419" xr:uid="{B7F8BB3B-54F9-47B6-87F7-22502D2BCD03}"/>
    <cellStyle name="Note 8 9" xfId="1420" xr:uid="{BFF1F22F-C97B-4BC4-B59D-78197596B874}"/>
    <cellStyle name="Note 8 9 2" xfId="1421" xr:uid="{DCA451E6-86F9-419F-97EB-3F5F88FD59B4}"/>
    <cellStyle name="Note 9" xfId="1422" xr:uid="{02B11783-4FC0-4552-91EB-DF3DE5086DA3}"/>
    <cellStyle name="Note 9 10" xfId="1423" xr:uid="{C054BEE5-22FC-472D-B94C-07FBEEE48CE6}"/>
    <cellStyle name="Note 9 10 2" xfId="1424" xr:uid="{354549E2-38FB-49A6-9AFA-66087C160D1D}"/>
    <cellStyle name="Note 9 11" xfId="1425" xr:uid="{99B491FC-4CA0-4600-A174-A998716108E5}"/>
    <cellStyle name="Note 9 11 2" xfId="1426" xr:uid="{F4B35BDB-8590-4D6F-B402-C0DF659EEBDF}"/>
    <cellStyle name="Note 9 12" xfId="1427" xr:uid="{9165CDCF-D36E-4A36-909E-B678ABD1BAD4}"/>
    <cellStyle name="Note 9 12 2" xfId="1428" xr:uid="{CF0240F5-ECFC-421A-BBC5-16D35AA276DD}"/>
    <cellStyle name="Note 9 13" xfId="1429" xr:uid="{4FEA9EC4-2F53-47C8-9DA7-B469C2865A07}"/>
    <cellStyle name="Note 9 13 2" xfId="1430" xr:uid="{7CD92806-D8F3-44EA-A600-32CDA2EE9722}"/>
    <cellStyle name="Note 9 14" xfId="1431" xr:uid="{6ACFE51F-8B86-48EA-A53A-D6BCE1A33915}"/>
    <cellStyle name="Note 9 14 2" xfId="1432" xr:uid="{C7759954-9629-4046-9516-EF28E7003882}"/>
    <cellStyle name="Note 9 15" xfId="1433" xr:uid="{FD6936BC-BF72-4B10-BACE-BB20EB7650D6}"/>
    <cellStyle name="Note 9 15 2" xfId="1434" xr:uid="{6634902C-0A07-4228-9430-1B1B2F512881}"/>
    <cellStyle name="Note 9 16" xfId="1435" xr:uid="{195CF408-4857-4FBD-8DAC-CF60EA42C470}"/>
    <cellStyle name="Note 9 16 2" xfId="1436" xr:uid="{F5FA95D3-44CD-444D-8D19-BFDB96000625}"/>
    <cellStyle name="Note 9 17" xfId="1437" xr:uid="{1B550EA3-180E-406B-933A-66958B0F5A1C}"/>
    <cellStyle name="Note 9 17 2" xfId="1438" xr:uid="{16B1A3D1-391B-4529-B467-EFDDA70CA73B}"/>
    <cellStyle name="Note 9 18" xfId="1439" xr:uid="{66752E3D-D552-4D70-9B9A-2DBAF1B330F5}"/>
    <cellStyle name="Note 9 18 2" xfId="1440" xr:uid="{1554FD86-396E-4B4B-965D-1950730057D8}"/>
    <cellStyle name="Note 9 19" xfId="1441" xr:uid="{44853269-DA88-4D1E-8DA8-CFDBD1E1F160}"/>
    <cellStyle name="Note 9 19 2" xfId="1442" xr:uid="{9019950C-32D7-43EF-BF8C-DD2DAC972E6F}"/>
    <cellStyle name="Note 9 2" xfId="1443" xr:uid="{0BAE8C48-9C67-47F2-AFAB-7741286FD002}"/>
    <cellStyle name="Note 9 2 2" xfId="1444" xr:uid="{9BDD2E46-19ED-45E1-977B-69888092B845}"/>
    <cellStyle name="Note 9 20" xfId="1445" xr:uid="{E3E854B0-1D0F-4F69-8C02-62C7AA2CE771}"/>
    <cellStyle name="Note 9 20 2" xfId="1446" xr:uid="{D74AFD92-3F89-4855-B11E-2CCFB89B94B7}"/>
    <cellStyle name="Note 9 21" xfId="1447" xr:uid="{A5753DA6-3615-440A-B1C7-6360F8EB4825}"/>
    <cellStyle name="Note 9 21 2" xfId="1448" xr:uid="{FF04A12D-A9B5-4D28-839E-95C3422FEA92}"/>
    <cellStyle name="Note 9 22" xfId="1449" xr:uid="{D5252253-9795-4E52-83F2-A2CEA7398A72}"/>
    <cellStyle name="Note 9 22 2" xfId="1450" xr:uid="{E7FFEB4B-FA7F-4972-9328-E0D79E847730}"/>
    <cellStyle name="Note 9 23" xfId="1451" xr:uid="{AE651FAC-23AF-456B-9755-0EC8882C8827}"/>
    <cellStyle name="Note 9 3" xfId="1452" xr:uid="{ADFCA009-A5BC-4C33-A3D8-7E70FE5453D9}"/>
    <cellStyle name="Note 9 3 2" xfId="1453" xr:uid="{7B8BCF62-B39F-4F41-8D8F-2507816AAE98}"/>
    <cellStyle name="Note 9 4" xfId="1454" xr:uid="{AB3C7308-E9D3-4350-AD50-ABBB4197C63B}"/>
    <cellStyle name="Note 9 4 2" xfId="1455" xr:uid="{6725CDCF-E9C2-4B44-8500-3039B22FB32A}"/>
    <cellStyle name="Note 9 5" xfId="1456" xr:uid="{DAB0385D-DE70-4910-899B-C796B078697C}"/>
    <cellStyle name="Note 9 5 2" xfId="1457" xr:uid="{3085798B-86FD-4020-8AA0-8F2157D883AE}"/>
    <cellStyle name="Note 9 6" xfId="1458" xr:uid="{6303AEA5-F0F9-4506-B08E-E498DCC80C5E}"/>
    <cellStyle name="Note 9 6 2" xfId="1459" xr:uid="{8A3F3844-CCBB-40A4-8561-C790ECB8E44D}"/>
    <cellStyle name="Note 9 7" xfId="1460" xr:uid="{FBFCD1EE-9265-4EA7-ACE4-0828835415D6}"/>
    <cellStyle name="Note 9 7 2" xfId="1461" xr:uid="{BE5A64B0-D9FD-4A6A-AAAA-BFBCAA264484}"/>
    <cellStyle name="Note 9 8" xfId="1462" xr:uid="{C89B4E86-F532-4852-937D-61073170565E}"/>
    <cellStyle name="Note 9 8 2" xfId="1463" xr:uid="{2EB27595-2087-45BB-BF2B-597117BE601B}"/>
    <cellStyle name="Note 9 9" xfId="1464" xr:uid="{96AAC191-2EA4-4347-B093-7D4CAF81FFB4}"/>
    <cellStyle name="Note 9 9 2" xfId="1465" xr:uid="{79EEAA84-831A-414D-84B9-54882250CAE7}"/>
    <cellStyle name="Output" xfId="1466" xr:uid="{232AB60F-682F-4FA1-B8D2-2C24AC5FFCC8}"/>
    <cellStyle name="Output 10" xfId="1467" xr:uid="{BDEC7F09-1BDE-4A37-8F89-07EDF7AA3423}"/>
    <cellStyle name="Output 10 10" xfId="1468" xr:uid="{523DFDE6-7A7B-45FE-A8C0-67D17121951F}"/>
    <cellStyle name="Output 10 10 2" xfId="1469" xr:uid="{E3D302A7-56DC-41DC-A9B9-BFBA1AB9640B}"/>
    <cellStyle name="Output 10 11" xfId="1470" xr:uid="{9736C95C-8A33-42E6-9333-CEF3DD1DA0E6}"/>
    <cellStyle name="Output 10 11 2" xfId="1471" xr:uid="{94AC32C5-5B44-44E6-A130-7713B624B73B}"/>
    <cellStyle name="Output 10 12" xfId="1472" xr:uid="{3FAD57AE-895E-4C3A-8AF5-6F9E24C454F6}"/>
    <cellStyle name="Output 10 12 2" xfId="1473" xr:uid="{F1C5F32C-BF90-420A-A5DA-4EC65FDE4281}"/>
    <cellStyle name="Output 10 13" xfId="1474" xr:uid="{C6568673-5404-44AF-A818-2DC5AD52D89E}"/>
    <cellStyle name="Output 10 13 2" xfId="1475" xr:uid="{54DA4CDB-7AC8-4810-B497-F94F4834D8D0}"/>
    <cellStyle name="Output 10 14" xfId="1476" xr:uid="{0F3C2EA0-D580-438D-8434-12D8D3A154D8}"/>
    <cellStyle name="Output 10 14 2" xfId="1477" xr:uid="{FC84E05E-02DD-418F-9B34-F74E27F4E5D1}"/>
    <cellStyle name="Output 10 15" xfId="1478" xr:uid="{3A5B46D6-D244-4D39-8CAA-4D2B6E71B483}"/>
    <cellStyle name="Output 10 15 2" xfId="1479" xr:uid="{ED9DA1C5-A709-4857-B345-A1F3D3AF6BF0}"/>
    <cellStyle name="Output 10 16" xfId="1480" xr:uid="{E58B026C-894C-411F-9BBB-989FC225A3F6}"/>
    <cellStyle name="Output 10 16 2" xfId="1481" xr:uid="{556AE6E7-1B5C-4DD4-A1C6-3C0749276CF4}"/>
    <cellStyle name="Output 10 17" xfId="1482" xr:uid="{8AA27F86-B715-4B0E-A659-A246356E248E}"/>
    <cellStyle name="Output 10 17 2" xfId="1483" xr:uid="{A520FCDD-0CDB-4BE6-98DE-E416AB553724}"/>
    <cellStyle name="Output 10 18" xfId="1484" xr:uid="{2ACC2C32-E69E-4BCA-AE6F-9FEEF87518F6}"/>
    <cellStyle name="Output 10 18 2" xfId="1485" xr:uid="{27F1F414-A82B-4A6A-9B04-763185A83DA5}"/>
    <cellStyle name="Output 10 19" xfId="1486" xr:uid="{B78933DF-D456-4A98-8A82-EDE4D6933763}"/>
    <cellStyle name="Output 10 19 2" xfId="1487" xr:uid="{CDB49975-F651-4EE5-9215-47C558CC6C43}"/>
    <cellStyle name="Output 10 2" xfId="1488" xr:uid="{FC77BE55-A2B5-4409-90FE-9C68E2E7C532}"/>
    <cellStyle name="Output 10 2 2" xfId="1489" xr:uid="{D383BA1C-1EB3-496E-9D3D-A15DA79C2546}"/>
    <cellStyle name="Output 10 20" xfId="1490" xr:uid="{7C73AA6D-C6BD-4438-BA6E-4C478FA0053D}"/>
    <cellStyle name="Output 10 20 2" xfId="1491" xr:uid="{A62E4B54-8DCA-4466-B239-C51FD299C40A}"/>
    <cellStyle name="Output 10 21" xfId="1492" xr:uid="{4E0E5CD9-69BD-4FC6-9DAD-3C11258CC38C}"/>
    <cellStyle name="Output 10 21 2" xfId="1493" xr:uid="{DE7A1DDE-20AA-4303-A286-019564CD4BAC}"/>
    <cellStyle name="Output 10 22" xfId="1494" xr:uid="{B946F3FA-13BA-4E6D-BFED-794C892730AD}"/>
    <cellStyle name="Output 10 3" xfId="1495" xr:uid="{6AE55AE0-08BD-427F-8396-D3CE3F56A33E}"/>
    <cellStyle name="Output 10 3 2" xfId="1496" xr:uid="{E86CC9C4-564D-4508-B343-2AF8C330AFF3}"/>
    <cellStyle name="Output 10 4" xfId="1497" xr:uid="{52939124-1EEC-4148-AC8E-4CE5E00C0AE8}"/>
    <cellStyle name="Output 10 4 2" xfId="1498" xr:uid="{5DE5B5B9-B356-44FF-BFF0-52C478475471}"/>
    <cellStyle name="Output 10 5" xfId="1499" xr:uid="{E51CB150-B434-43CD-8545-C331B6B91446}"/>
    <cellStyle name="Output 10 5 2" xfId="1500" xr:uid="{009CB544-C5E0-43D6-9347-BD1DBA8D95A1}"/>
    <cellStyle name="Output 10 6" xfId="1501" xr:uid="{3F97BCF5-2E91-4059-AA90-A9E19B82516E}"/>
    <cellStyle name="Output 10 6 2" xfId="1502" xr:uid="{40B7AC01-FCE3-470C-BC31-AC97D7B2721F}"/>
    <cellStyle name="Output 10 7" xfId="1503" xr:uid="{97B67B7E-784F-4196-A30B-64EAF114FC9E}"/>
    <cellStyle name="Output 10 7 2" xfId="1504" xr:uid="{291AE404-6031-44E7-9828-576796DA59DC}"/>
    <cellStyle name="Output 10 8" xfId="1505" xr:uid="{1FA0EEAA-AF00-4A11-86AE-FFCBE7A115FC}"/>
    <cellStyle name="Output 10 8 2" xfId="1506" xr:uid="{03845403-1FD9-462A-8053-FE3E2BAA5D28}"/>
    <cellStyle name="Output 10 9" xfId="1507" xr:uid="{020B74DB-4276-48CD-B010-7336667A312F}"/>
    <cellStyle name="Output 10 9 2" xfId="1508" xr:uid="{1A87FFA1-7931-4213-9289-70B5A1A02A4E}"/>
    <cellStyle name="Output 11" xfId="1509" xr:uid="{1CC60040-1533-4842-ADA3-0EDF86B73524}"/>
    <cellStyle name="Output 11 10" xfId="1510" xr:uid="{C68B8C1F-7088-4F54-949C-97DD04384366}"/>
    <cellStyle name="Output 11 10 2" xfId="1511" xr:uid="{A3ADCED4-33B8-49B5-981C-36AD647463C7}"/>
    <cellStyle name="Output 11 11" xfId="1512" xr:uid="{9E1A6519-25B9-4BD7-8FA3-7CF1CEA861A2}"/>
    <cellStyle name="Output 11 11 2" xfId="1513" xr:uid="{2313455A-5572-4A8C-8BE1-B74B2185C936}"/>
    <cellStyle name="Output 11 12" xfId="1514" xr:uid="{F15577EE-068D-4A47-960C-406F365B9521}"/>
    <cellStyle name="Output 11 12 2" xfId="1515" xr:uid="{37892F64-4911-46D6-BAB3-7A32B73F7B0A}"/>
    <cellStyle name="Output 11 13" xfId="1516" xr:uid="{4F4A9B9A-A8E4-4D4B-86FE-CB01296D0534}"/>
    <cellStyle name="Output 11 13 2" xfId="1517" xr:uid="{A673E363-0DE6-4F12-90F8-8AC1CA3978DD}"/>
    <cellStyle name="Output 11 14" xfId="1518" xr:uid="{6ECDD277-5A90-4296-BC86-D0047F444666}"/>
    <cellStyle name="Output 11 14 2" xfId="1519" xr:uid="{99FFED24-C02A-46BA-B6AC-C48D0557BA22}"/>
    <cellStyle name="Output 11 15" xfId="1520" xr:uid="{CCC70D1B-9BCA-474E-B25B-B8650BD893D2}"/>
    <cellStyle name="Output 11 15 2" xfId="1521" xr:uid="{117B9798-2302-4E62-9A57-21F917DE486A}"/>
    <cellStyle name="Output 11 16" xfId="1522" xr:uid="{F23A2251-293F-411B-9A80-1FA18C584848}"/>
    <cellStyle name="Output 11 16 2" xfId="1523" xr:uid="{C8E5D757-7469-412B-8F93-17690A27EB3F}"/>
    <cellStyle name="Output 11 17" xfId="1524" xr:uid="{5438454C-A2A2-44E3-9093-AABE2ED6EEC9}"/>
    <cellStyle name="Output 11 17 2" xfId="1525" xr:uid="{D4C4A87E-8755-4871-965A-12332ECF9F9E}"/>
    <cellStyle name="Output 11 18" xfId="1526" xr:uid="{114A11ED-EA0C-4DAB-AAEA-4E553A4654E3}"/>
    <cellStyle name="Output 11 18 2" xfId="1527" xr:uid="{6A72C2A0-3732-48C6-91D2-A50B43F4BEC1}"/>
    <cellStyle name="Output 11 19" xfId="1528" xr:uid="{7DC40888-D0C0-4560-8985-F25574FBB4DF}"/>
    <cellStyle name="Output 11 19 2" xfId="1529" xr:uid="{CBEFAE0F-BFD1-4E7C-94AF-C770AACEB9A3}"/>
    <cellStyle name="Output 11 2" xfId="1530" xr:uid="{2BEF8351-B053-4E54-A5BB-4F27C1E9FCF0}"/>
    <cellStyle name="Output 11 2 2" xfId="1531" xr:uid="{EF04B568-9B45-49C8-9D6E-F4761C853C5D}"/>
    <cellStyle name="Output 11 20" xfId="1532" xr:uid="{3E24D811-2196-4B86-89BA-01620885FE88}"/>
    <cellStyle name="Output 11 20 2" xfId="1533" xr:uid="{8032DD9A-76CF-4EF5-976C-C6F986C3DEC4}"/>
    <cellStyle name="Output 11 21" xfId="1534" xr:uid="{09A11B5B-7F4A-4BEC-8CA6-7355037E32AE}"/>
    <cellStyle name="Output 11 3" xfId="1535" xr:uid="{2325D869-B492-408F-BB52-E8F1E4244A50}"/>
    <cellStyle name="Output 11 3 2" xfId="1536" xr:uid="{ED0DB69F-58E0-435C-A768-C6848B21D6BF}"/>
    <cellStyle name="Output 11 4" xfId="1537" xr:uid="{CE3B0716-52B3-48DF-9C3B-C44A8F9AD62F}"/>
    <cellStyle name="Output 11 4 2" xfId="1538" xr:uid="{F07C95B5-B4FD-47E5-8920-3C305728EFCA}"/>
    <cellStyle name="Output 11 5" xfId="1539" xr:uid="{A59BDF0D-7720-4F01-8086-114B22D2EF39}"/>
    <cellStyle name="Output 11 5 2" xfId="1540" xr:uid="{E12DAA6B-981F-49FE-A420-FCA702F3665E}"/>
    <cellStyle name="Output 11 6" xfId="1541" xr:uid="{CCB7E9D2-8981-495F-9BD4-292BF7D8B537}"/>
    <cellStyle name="Output 11 6 2" xfId="1542" xr:uid="{C054D38E-F07B-4B38-9CDC-A41C86CC3B6A}"/>
    <cellStyle name="Output 11 7" xfId="1543" xr:uid="{EBCE0DC9-FAAF-4E7A-AF2B-A7F597E60A26}"/>
    <cellStyle name="Output 11 7 2" xfId="1544" xr:uid="{216A69A7-5926-41BD-B99C-EF3398CEF05B}"/>
    <cellStyle name="Output 11 8" xfId="1545" xr:uid="{C0AC6859-FCD2-46B0-95C5-B2FCE2A20E7A}"/>
    <cellStyle name="Output 11 8 2" xfId="1546" xr:uid="{6ADBEBFA-9D64-4231-80FA-9B9A9C56113E}"/>
    <cellStyle name="Output 11 9" xfId="1547" xr:uid="{CA0F2DDE-4977-45B1-A2A7-5C6E71902559}"/>
    <cellStyle name="Output 11 9 2" xfId="1548" xr:uid="{D843B4AB-990B-40C2-A2F2-54DE3FA611DF}"/>
    <cellStyle name="Output 12" xfId="1549" xr:uid="{6BD0302D-0B4B-46B0-8BC7-EDD2E4C82931}"/>
    <cellStyle name="Output 12 2" xfId="1550" xr:uid="{AB59E286-6610-4095-8CF1-632446F7AFBC}"/>
    <cellStyle name="Output 13" xfId="1551" xr:uid="{88ED6596-CC34-489B-8EFA-995E95EF4810}"/>
    <cellStyle name="Output 13 2" xfId="1552" xr:uid="{A2A7FA20-2C09-4397-8E7B-ED0BE5B541F5}"/>
    <cellStyle name="Output 14" xfId="1553" xr:uid="{4B1E7374-8D62-4BE9-8AA5-915E8A75EBA6}"/>
    <cellStyle name="Output 14 2" xfId="1554" xr:uid="{B0B58A26-1C65-416E-B3AF-2C0DB2C6106B}"/>
    <cellStyle name="Output 15" xfId="1555" xr:uid="{CD57306F-CEC2-4F2C-9DD8-8D5AF8177327}"/>
    <cellStyle name="Output 15 2" xfId="1556" xr:uid="{49227EA6-9854-4945-8201-27F1B6E39FE4}"/>
    <cellStyle name="Output 16" xfId="1557" xr:uid="{8D2F8BBF-9D20-4718-9A35-ABA48CF931F2}"/>
    <cellStyle name="Output 16 2" xfId="1558" xr:uid="{25C4B079-964E-483A-8578-01E19E6AA04F}"/>
    <cellStyle name="Output 17" xfId="1559" xr:uid="{10244710-09AA-4226-AA69-E21056F782AC}"/>
    <cellStyle name="Output 17 2" xfId="1560" xr:uid="{DD54B59A-3FD9-46C2-B8F0-59D293680287}"/>
    <cellStyle name="Output 18" xfId="1561" xr:uid="{426091BE-81EE-421B-AE71-E27025953D31}"/>
    <cellStyle name="Output 18 2" xfId="1562" xr:uid="{5D9BBF04-5BD7-4B22-82B6-71CE3B4BB42B}"/>
    <cellStyle name="Output 19" xfId="1563" xr:uid="{9A2D3C70-43D1-42F3-80BD-25A1C245ED67}"/>
    <cellStyle name="Output 19 2" xfId="1564" xr:uid="{681E1867-A2F7-44D6-A972-963A8E999A31}"/>
    <cellStyle name="Output 2" xfId="1565" xr:uid="{D54FD1B2-F646-43FD-99B0-773A1E0185F1}"/>
    <cellStyle name="Output 2 10" xfId="1566" xr:uid="{47395705-0292-4430-B097-EF024F7276AC}"/>
    <cellStyle name="Output 2 10 2" xfId="1567" xr:uid="{6235EE79-C6A9-4D03-AE39-2324503A3795}"/>
    <cellStyle name="Output 2 11" xfId="1568" xr:uid="{4F7D5384-BECE-4DD3-A90C-D0147B667338}"/>
    <cellStyle name="Output 2 11 2" xfId="1569" xr:uid="{E6381862-97A8-4D88-97A0-DA32533B619A}"/>
    <cellStyle name="Output 2 12" xfId="1570" xr:uid="{160CA2BE-D7A8-4FC8-8C8E-89C35EB6EAB2}"/>
    <cellStyle name="Output 2 12 2" xfId="1571" xr:uid="{96CED5DB-3DE4-4D7B-B09D-DF7848D83AF3}"/>
    <cellStyle name="Output 2 13" xfId="1572" xr:uid="{3EA32D53-29C0-4458-A677-6A29E57D319E}"/>
    <cellStyle name="Output 2 13 2" xfId="1573" xr:uid="{F4A49348-FAF6-4A5A-A9D2-949491B6FC2A}"/>
    <cellStyle name="Output 2 14" xfId="1574" xr:uid="{2120605A-285D-4A01-91AA-4402EE94980E}"/>
    <cellStyle name="Output 2 14 2" xfId="1575" xr:uid="{BFB99008-8C41-460B-AFCD-6E6C4EE50ECA}"/>
    <cellStyle name="Output 2 15" xfId="1576" xr:uid="{D91E61AC-0EF6-48B9-8249-1C1CAAA5EFD3}"/>
    <cellStyle name="Output 2 15 2" xfId="1577" xr:uid="{8941B712-E7E5-4F87-9EFA-1E3FCDF49036}"/>
    <cellStyle name="Output 2 16" xfId="1578" xr:uid="{F42E81EB-9882-4E98-9118-FE1708D63C2C}"/>
    <cellStyle name="Output 2 16 2" xfId="1579" xr:uid="{1003CF1C-6901-4BD9-96D0-FD8746961859}"/>
    <cellStyle name="Output 2 17" xfId="1580" xr:uid="{FB8A4BC1-524E-4EF4-A128-5F45A6AB782B}"/>
    <cellStyle name="Output 2 17 2" xfId="1581" xr:uid="{39873070-431C-48BE-BC3F-B58BEFC3AD5A}"/>
    <cellStyle name="Output 2 18" xfId="1582" xr:uid="{B02C83F8-3552-466B-B4AF-FDDF9489B5B5}"/>
    <cellStyle name="Output 2 18 2" xfId="1583" xr:uid="{EA06F645-B769-48F5-A6F4-932BD4780A76}"/>
    <cellStyle name="Output 2 19" xfId="1584" xr:uid="{50E5FE11-B0CC-4125-89D4-21E8B4CAB498}"/>
    <cellStyle name="Output 2 19 2" xfId="1585" xr:uid="{AF61A300-84EA-410F-97FD-299EEEDF80A4}"/>
    <cellStyle name="Output 2 2" xfId="1586" xr:uid="{3B0BED56-AB7B-4381-8496-77AFB8774ACB}"/>
    <cellStyle name="Output 2 2 2" xfId="1587" xr:uid="{B5F0728C-1DD0-48BE-BCAE-B0759B355848}"/>
    <cellStyle name="Output 2 20" xfId="1588" xr:uid="{73503DAA-2A0A-4BF2-A09E-FEC8556F511D}"/>
    <cellStyle name="Output 2 20 2" xfId="1589" xr:uid="{2A678C78-805E-4137-AC32-A6550DC86B35}"/>
    <cellStyle name="Output 2 21" xfId="1590" xr:uid="{5EC3A2AE-F460-4E85-80D8-1A7A5C57FF1B}"/>
    <cellStyle name="Output 2 21 2" xfId="1591" xr:uid="{5D93D6FF-EEF9-414A-BB51-1C5E3876BA2B}"/>
    <cellStyle name="Output 2 22" xfId="1592" xr:uid="{28970DC7-A06B-4D54-90E1-B7CD828AB34C}"/>
    <cellStyle name="Output 2 3" xfId="1593" xr:uid="{C2F6C4EF-BA3C-49B3-97EF-89582055F96C}"/>
    <cellStyle name="Output 2 3 2" xfId="1594" xr:uid="{24A77185-40CF-41C5-B1D8-5DEBFDC8F407}"/>
    <cellStyle name="Output 2 4" xfId="1595" xr:uid="{1F910B38-3102-466D-B3BF-2D983816BF8C}"/>
    <cellStyle name="Output 2 4 2" xfId="1596" xr:uid="{4E1630E0-D877-4E40-B033-9C5EE7955D84}"/>
    <cellStyle name="Output 2 5" xfId="1597" xr:uid="{34E6DC84-A380-4F9E-9085-78FF5BDCD818}"/>
    <cellStyle name="Output 2 5 2" xfId="1598" xr:uid="{E76E1A55-ABBA-4B34-9746-A705F7A58BB6}"/>
    <cellStyle name="Output 2 6" xfId="1599" xr:uid="{DB659B72-237C-4321-8F8C-0E1CC40651CB}"/>
    <cellStyle name="Output 2 6 2" xfId="1600" xr:uid="{48283227-4B68-4521-8815-FB2B2C881B78}"/>
    <cellStyle name="Output 2 7" xfId="1601" xr:uid="{A0E5F4C9-7354-47DC-A86A-58C18CCC7701}"/>
    <cellStyle name="Output 2 7 2" xfId="1602" xr:uid="{38D6A361-341C-46B2-90CA-448CD44EF803}"/>
    <cellStyle name="Output 2 8" xfId="1603" xr:uid="{BCF4A8B1-DAF8-4C72-995A-9C945A069EF3}"/>
    <cellStyle name="Output 2 8 2" xfId="1604" xr:uid="{D3526688-F32B-4DCA-8CE9-3EBB0F9CCBC5}"/>
    <cellStyle name="Output 2 9" xfId="1605" xr:uid="{6629902D-401E-4898-8BD4-C09ADDBA65F8}"/>
    <cellStyle name="Output 2 9 2" xfId="1606" xr:uid="{91EBD109-780F-4C06-851C-27D0088B57BD}"/>
    <cellStyle name="Output 20" xfId="1607" xr:uid="{24A12455-1CDD-45BD-B985-B81BF3B8B37B}"/>
    <cellStyle name="Output 20 2" xfId="1608" xr:uid="{50B7E1A1-47BB-4BF7-B7AC-D2F0245C725F}"/>
    <cellStyle name="Output 21" xfId="1609" xr:uid="{1DC768A6-BBEF-4F29-9CA3-7BF24C471B20}"/>
    <cellStyle name="Output 21 2" xfId="1610" xr:uid="{4744225D-C270-4A84-8445-0003790D9916}"/>
    <cellStyle name="Output 22" xfId="1611" xr:uid="{9154EC09-15EA-447D-860F-0462FF43F6CD}"/>
    <cellStyle name="Output 22 2" xfId="1612" xr:uid="{32F1260B-25EE-4DA4-AA46-EB7AA420E62A}"/>
    <cellStyle name="Output 23" xfId="1613" xr:uid="{04C7C22F-0667-4756-BC36-1D5296D48E23}"/>
    <cellStyle name="Output 23 2" xfId="1614" xr:uid="{456543CC-F399-44CA-A1FF-E6A3F3CAC2DE}"/>
    <cellStyle name="Output 24" xfId="1615" xr:uid="{3E84734D-B992-4142-9E0B-1759E14803D4}"/>
    <cellStyle name="Output 24 2" xfId="1616" xr:uid="{9E7C25F3-0717-4735-B781-D01AEBD83D4E}"/>
    <cellStyle name="Output 25" xfId="1617" xr:uid="{5CAAA12F-A4FF-4D26-B8CF-C47742857CAF}"/>
    <cellStyle name="Output 25 2" xfId="1618" xr:uid="{D2E65738-24DE-43BD-B17D-EF9D56A428AB}"/>
    <cellStyle name="Output 26" xfId="1619" xr:uid="{90E6A93C-41C3-4256-9305-C0DE87E98867}"/>
    <cellStyle name="Output 26 2" xfId="1620" xr:uid="{B50FBE58-7A1C-4E78-8347-EAA1320D8405}"/>
    <cellStyle name="Output 27" xfId="1621" xr:uid="{442A4F02-1DDC-4C85-B840-4440A4508BAE}"/>
    <cellStyle name="Output 27 2" xfId="1622" xr:uid="{3533B814-1F3B-46CA-AA21-0027950426CE}"/>
    <cellStyle name="Output 28" xfId="1623" xr:uid="{7A86AA5C-AE9F-4EA4-BAAB-B0C6B1F51455}"/>
    <cellStyle name="Output 28 2" xfId="1624" xr:uid="{F5BA5866-0EA7-4C94-AF57-FF5659230618}"/>
    <cellStyle name="Output 29" xfId="1625" xr:uid="{6295CA01-EF85-4E9C-A253-4DA5E5196253}"/>
    <cellStyle name="Output 29 2" xfId="1626" xr:uid="{94A4D7E7-8EE7-4333-AEE5-429DDF7B5AC3}"/>
    <cellStyle name="Output 3" xfId="1627" xr:uid="{81B64C08-18E6-415D-B442-E971B703206D}"/>
    <cellStyle name="Output 3 10" xfId="1628" xr:uid="{5A89CC7E-EAF0-4A01-AA97-36C3C59C3145}"/>
    <cellStyle name="Output 3 10 2" xfId="1629" xr:uid="{0A204731-0817-47C2-8A0C-59B8A5F395BC}"/>
    <cellStyle name="Output 3 11" xfId="1630" xr:uid="{776247AC-C8A5-4215-8F8D-D128555A11A2}"/>
    <cellStyle name="Output 3 11 2" xfId="1631" xr:uid="{F815A3B7-F2F9-47D8-A561-814A1F9F3808}"/>
    <cellStyle name="Output 3 12" xfId="1632" xr:uid="{27AE0285-F434-4A54-B0A8-CF87E1BD4B2A}"/>
    <cellStyle name="Output 3 12 2" xfId="1633" xr:uid="{BED98F8E-BDA3-40A6-A5F5-8A3C6EF3BE09}"/>
    <cellStyle name="Output 3 13" xfId="1634" xr:uid="{03F1A64B-1C86-4BB5-9E64-39AF9BA6D3D6}"/>
    <cellStyle name="Output 3 13 2" xfId="1635" xr:uid="{86F3BE8F-D360-40B6-848F-C052100E5DBA}"/>
    <cellStyle name="Output 3 14" xfId="1636" xr:uid="{BB357F2A-E69F-4850-B095-994876DF0E8D}"/>
    <cellStyle name="Output 3 14 2" xfId="1637" xr:uid="{699E302F-09CE-4D44-806B-E2545A36DF41}"/>
    <cellStyle name="Output 3 15" xfId="1638" xr:uid="{79CCB77F-75C0-473D-BCCE-CC80FCDF8F84}"/>
    <cellStyle name="Output 3 15 2" xfId="1639" xr:uid="{10A61EBD-5719-411B-A492-B856E7B65893}"/>
    <cellStyle name="Output 3 16" xfId="1640" xr:uid="{5C8A703E-5EC7-44AB-BE52-5A379574A902}"/>
    <cellStyle name="Output 3 16 2" xfId="1641" xr:uid="{8EC6FF9E-B5B3-41C7-BFC4-ED498DCF469B}"/>
    <cellStyle name="Output 3 17" xfId="1642" xr:uid="{F338C29F-845F-4640-AAB0-64B7B99C94B2}"/>
    <cellStyle name="Output 3 17 2" xfId="1643" xr:uid="{F021424E-C2F1-495B-B4AF-C9CD6692076D}"/>
    <cellStyle name="Output 3 18" xfId="1644" xr:uid="{29FB603F-2B2E-4952-952C-4AB35DC89F22}"/>
    <cellStyle name="Output 3 18 2" xfId="1645" xr:uid="{AECAEBE4-A532-41FA-A484-60EEFD1C74DC}"/>
    <cellStyle name="Output 3 19" xfId="1646" xr:uid="{990AA34D-59EB-45FD-8C3A-73CDA8C3A50E}"/>
    <cellStyle name="Output 3 19 2" xfId="1647" xr:uid="{94B6990B-4F8F-4187-8AB6-CC7F7E82C260}"/>
    <cellStyle name="Output 3 2" xfId="1648" xr:uid="{0FE538BC-1080-434A-848D-9215A1D0F464}"/>
    <cellStyle name="Output 3 2 2" xfId="1649" xr:uid="{F2DF5F44-DEA9-4AA8-B996-235F6EFC23C6}"/>
    <cellStyle name="Output 3 20" xfId="1650" xr:uid="{0F71B168-0B3A-4A6A-8EA3-EC7F4AD50F8B}"/>
    <cellStyle name="Output 3 20 2" xfId="1651" xr:uid="{D7275FD2-0F92-4C81-882B-E401B71CC8FD}"/>
    <cellStyle name="Output 3 21" xfId="1652" xr:uid="{6D5CA6D9-B20C-4D9E-9751-0638497CF475}"/>
    <cellStyle name="Output 3 21 2" xfId="1653" xr:uid="{C9E71A1E-9A16-4C73-A410-2969B3FD2B6E}"/>
    <cellStyle name="Output 3 22" xfId="1654" xr:uid="{DEAD6435-D0C9-4797-907E-D5CCF48EF23B}"/>
    <cellStyle name="Output 3 3" xfId="1655" xr:uid="{8F5BDE56-1E0E-4220-81E1-A9FAC0F80FF1}"/>
    <cellStyle name="Output 3 3 2" xfId="1656" xr:uid="{5E716255-E81E-415C-9267-016CFA894364}"/>
    <cellStyle name="Output 3 4" xfId="1657" xr:uid="{032F42CD-C612-42C6-A44F-8DCB93340F90}"/>
    <cellStyle name="Output 3 4 2" xfId="1658" xr:uid="{91606F68-EF17-4B89-A804-635F838A0569}"/>
    <cellStyle name="Output 3 5" xfId="1659" xr:uid="{B3B819A6-3957-489B-AD04-40DB210A8BB9}"/>
    <cellStyle name="Output 3 5 2" xfId="1660" xr:uid="{07EC56B8-30E1-4AA7-B443-B01C3C43023A}"/>
    <cellStyle name="Output 3 6" xfId="1661" xr:uid="{C4F837E0-ADF9-4368-8CC1-BB38EA966946}"/>
    <cellStyle name="Output 3 6 2" xfId="1662" xr:uid="{E71B413A-9807-4CFB-A057-44EF9632D100}"/>
    <cellStyle name="Output 3 7" xfId="1663" xr:uid="{EE8BB56B-1D30-4B14-8D83-7DA48B562161}"/>
    <cellStyle name="Output 3 7 2" xfId="1664" xr:uid="{1DC78F9F-168F-4391-BD27-FB8922BC78ED}"/>
    <cellStyle name="Output 3 8" xfId="1665" xr:uid="{F59ED4EE-D0F7-4CA0-89C3-0FD7DDB809D0}"/>
    <cellStyle name="Output 3 8 2" xfId="1666" xr:uid="{B1098EF5-5FD0-48C9-999B-85318E4BE7C1}"/>
    <cellStyle name="Output 3 9" xfId="1667" xr:uid="{398E9003-56A3-4FFD-992C-AE54158826A7}"/>
    <cellStyle name="Output 3 9 2" xfId="1668" xr:uid="{F17E9490-B776-433D-861E-626820129983}"/>
    <cellStyle name="Output 30" xfId="1669" xr:uid="{DD0C5C67-F4FB-4468-8417-68A692CB493D}"/>
    <cellStyle name="Output 30 2" xfId="1670" xr:uid="{D0B67975-66F1-49A3-A867-2E8DE4CD08A2}"/>
    <cellStyle name="Output 31" xfId="1671" xr:uid="{ECDCEF36-D35B-48E4-AA6B-25FB92E8B315}"/>
    <cellStyle name="Output 31 2" xfId="1672" xr:uid="{26626C84-14A1-498F-B6EE-C35389BAB2D0}"/>
    <cellStyle name="Output 32" xfId="1673" xr:uid="{ED31AE0B-19CB-46AF-B35A-8FDCA81EDABD}"/>
    <cellStyle name="Output 32 2" xfId="1674" xr:uid="{11D41C27-EAE2-49B3-880B-225FFC3E89D6}"/>
    <cellStyle name="Output 33" xfId="1675" xr:uid="{9FE317B6-1457-4FA6-AB05-3505CF1F0F19}"/>
    <cellStyle name="Output 34" xfId="1676" xr:uid="{C06D80AC-0A80-4844-8F47-983FC0312490}"/>
    <cellStyle name="Output 4" xfId="1677" xr:uid="{F53C73C1-5D2F-4290-B643-6F3C9CD5B4AB}"/>
    <cellStyle name="Output 4 10" xfId="1678" xr:uid="{F0987A71-E84D-4DF8-91AF-321907953F2A}"/>
    <cellStyle name="Output 4 10 2" xfId="1679" xr:uid="{1F227D69-D9DA-494A-AFA9-865A0D6563F4}"/>
    <cellStyle name="Output 4 11" xfId="1680" xr:uid="{27B85785-4492-4FAB-A89B-8ABD1FF80712}"/>
    <cellStyle name="Output 4 11 2" xfId="1681" xr:uid="{1CDB33A3-C282-4FFA-B0F4-620297109F36}"/>
    <cellStyle name="Output 4 12" xfId="1682" xr:uid="{D4079172-F58C-4E4B-9492-7BE41DB81A33}"/>
    <cellStyle name="Output 4 12 2" xfId="1683" xr:uid="{098A397C-11D5-4583-ADBD-8399B67AF61B}"/>
    <cellStyle name="Output 4 13" xfId="1684" xr:uid="{8DD5B80F-2583-4534-97A6-30EC183D526C}"/>
    <cellStyle name="Output 4 13 2" xfId="1685" xr:uid="{907E9678-DDBE-4C51-ABD1-FE5D673C8162}"/>
    <cellStyle name="Output 4 14" xfId="1686" xr:uid="{0FE7435B-115C-4164-90A4-E0C54DDC0F78}"/>
    <cellStyle name="Output 4 14 2" xfId="1687" xr:uid="{FFBB455A-504B-470F-AA49-001E04888308}"/>
    <cellStyle name="Output 4 15" xfId="1688" xr:uid="{45BC0DB2-EEA5-4ACF-871B-A91FBC41643B}"/>
    <cellStyle name="Output 4 15 2" xfId="1689" xr:uid="{14E89550-1004-4247-98AB-7E98F117E140}"/>
    <cellStyle name="Output 4 16" xfId="1690" xr:uid="{9F44FC19-9E58-41D5-AF30-C8914BFCF101}"/>
    <cellStyle name="Output 4 16 2" xfId="1691" xr:uid="{E511C4F2-647D-492C-8ABD-1911FB5E377F}"/>
    <cellStyle name="Output 4 17" xfId="1692" xr:uid="{DDB7BC1B-D95E-4933-A42F-3A480DCBB4FE}"/>
    <cellStyle name="Output 4 17 2" xfId="1693" xr:uid="{6FCB58D5-FA43-4FF7-9FB0-2E510D4B51F0}"/>
    <cellStyle name="Output 4 18" xfId="1694" xr:uid="{8C76B7B0-FD32-4D8C-9544-F8780017FE1B}"/>
    <cellStyle name="Output 4 18 2" xfId="1695" xr:uid="{807122F7-7E19-4D60-AD07-897FFB191A1E}"/>
    <cellStyle name="Output 4 19" xfId="1696" xr:uid="{55DC4A90-14B1-4835-A72A-3ACCE68C482C}"/>
    <cellStyle name="Output 4 19 2" xfId="1697" xr:uid="{BFCD68E5-470F-4BD3-81C3-896BAFFD2856}"/>
    <cellStyle name="Output 4 2" xfId="1698" xr:uid="{17BAE65F-1637-4D68-A29C-FCA201AC4CF7}"/>
    <cellStyle name="Output 4 2 2" xfId="1699" xr:uid="{EFC0A911-C3F2-4C4D-AE0C-0ECD0661EBB4}"/>
    <cellStyle name="Output 4 20" xfId="1700" xr:uid="{98EDAC0D-9AB5-4224-95DC-8E8AA8CE615F}"/>
    <cellStyle name="Output 4 20 2" xfId="1701" xr:uid="{0C491C78-D296-43AB-9B1F-CC5A052E4317}"/>
    <cellStyle name="Output 4 21" xfId="1702" xr:uid="{C4D0FE18-B333-42EB-AD57-435488247CE2}"/>
    <cellStyle name="Output 4 21 2" xfId="1703" xr:uid="{8D18DEC0-25E8-438C-B849-AF1D2DF0831E}"/>
    <cellStyle name="Output 4 22" xfId="1704" xr:uid="{7CBC8B38-5588-4DEF-9359-CD0067AFCB21}"/>
    <cellStyle name="Output 4 3" xfId="1705" xr:uid="{BCE50563-D8FB-4A79-BF50-1380975670D2}"/>
    <cellStyle name="Output 4 3 2" xfId="1706" xr:uid="{619A42A0-395C-4375-8B87-CD045C8745B4}"/>
    <cellStyle name="Output 4 4" xfId="1707" xr:uid="{96442698-95FB-4C09-9CDA-D92813D757C8}"/>
    <cellStyle name="Output 4 4 2" xfId="1708" xr:uid="{5E800B27-B2D0-4789-95AA-C9CCA1487A8C}"/>
    <cellStyle name="Output 4 5" xfId="1709" xr:uid="{D87DAB89-F5BD-47D1-B959-9AB589C1C8EA}"/>
    <cellStyle name="Output 4 5 2" xfId="1710" xr:uid="{FC23543D-548F-4590-9CF4-8B8AD9E157C7}"/>
    <cellStyle name="Output 4 6" xfId="1711" xr:uid="{E98E4DDA-E8B3-4668-A574-44C07EBDCE96}"/>
    <cellStyle name="Output 4 6 2" xfId="1712" xr:uid="{4F851DD0-C12A-4370-9500-66E985DB1688}"/>
    <cellStyle name="Output 4 7" xfId="1713" xr:uid="{62AD3ED1-1041-479E-AE04-86364D6C65F9}"/>
    <cellStyle name="Output 4 7 2" xfId="1714" xr:uid="{D3562B9B-4F6B-483C-B25F-3FEDDCCD90CF}"/>
    <cellStyle name="Output 4 8" xfId="1715" xr:uid="{ADB7CEE4-45AB-4722-B23D-0AB55ECE1BE1}"/>
    <cellStyle name="Output 4 8 2" xfId="1716" xr:uid="{1BD58374-331C-41F8-A8B3-F0D3720CAC29}"/>
    <cellStyle name="Output 4 9" xfId="1717" xr:uid="{D95FCDDC-BF58-443C-A937-607C15C5CFAA}"/>
    <cellStyle name="Output 4 9 2" xfId="1718" xr:uid="{FF25FCF2-A19B-4717-AA90-F6A06F026556}"/>
    <cellStyle name="Output 5" xfId="1719" xr:uid="{97B5D7CC-8E60-40EE-968B-91966DE91A13}"/>
    <cellStyle name="Output 5 10" xfId="1720" xr:uid="{5284330B-ACCD-4E34-A64A-85C25F7147AA}"/>
    <cellStyle name="Output 5 10 2" xfId="1721" xr:uid="{EE0E1621-A1C0-4339-B47F-457244D71157}"/>
    <cellStyle name="Output 5 11" xfId="1722" xr:uid="{3AE59F21-3CCB-45AB-B912-24453ED1B9D9}"/>
    <cellStyle name="Output 5 11 2" xfId="1723" xr:uid="{B58135D5-8B21-4554-8DEF-BF750D11E9EF}"/>
    <cellStyle name="Output 5 12" xfId="1724" xr:uid="{555F4A21-2DE1-4C0E-9E2B-B35DEE4420E9}"/>
    <cellStyle name="Output 5 12 2" xfId="1725" xr:uid="{CB007285-AF76-4CCF-BE73-ACF57F72200A}"/>
    <cellStyle name="Output 5 13" xfId="1726" xr:uid="{0AF6AA2D-A3A5-4FD7-8B2C-6A35BAFD9C25}"/>
    <cellStyle name="Output 5 13 2" xfId="1727" xr:uid="{104686A6-EC22-4D35-8D0D-8186009F3023}"/>
    <cellStyle name="Output 5 14" xfId="1728" xr:uid="{DEF874A2-81E2-4C90-AFF7-96C0C1B2457D}"/>
    <cellStyle name="Output 5 14 2" xfId="1729" xr:uid="{8FCB197B-1764-45B4-838B-9452F4999F82}"/>
    <cellStyle name="Output 5 15" xfId="1730" xr:uid="{1CA8D691-A48F-4512-A231-FE782C9B69C7}"/>
    <cellStyle name="Output 5 15 2" xfId="1731" xr:uid="{B7ADD1BA-96DF-4471-B70A-9D9855506212}"/>
    <cellStyle name="Output 5 16" xfId="1732" xr:uid="{5E7A690F-7C08-4F0F-AFE0-47FA12F1B0C7}"/>
    <cellStyle name="Output 5 16 2" xfId="1733" xr:uid="{97AF0ECD-0B54-4B75-BCF9-BE6CC3AA5C59}"/>
    <cellStyle name="Output 5 17" xfId="1734" xr:uid="{3D23C198-0A6E-4529-8C7B-5AAEB661D3E3}"/>
    <cellStyle name="Output 5 17 2" xfId="1735" xr:uid="{FEFA2CDB-EB1A-4AAE-805F-DE8447AD1269}"/>
    <cellStyle name="Output 5 18" xfId="1736" xr:uid="{189D7D0D-D159-4904-8DD1-4884F69E0E5E}"/>
    <cellStyle name="Output 5 18 2" xfId="1737" xr:uid="{821D4846-17FB-4460-A214-0E1875505F1C}"/>
    <cellStyle name="Output 5 19" xfId="1738" xr:uid="{B5A0BE54-371C-43E3-9572-7061F972ABB7}"/>
    <cellStyle name="Output 5 19 2" xfId="1739" xr:uid="{AFF66C53-FEFF-4F97-ADFF-ED2E41354EE4}"/>
    <cellStyle name="Output 5 2" xfId="1740" xr:uid="{4BFE8B9D-9650-4D77-BF6A-328F19D89138}"/>
    <cellStyle name="Output 5 2 2" xfId="1741" xr:uid="{61E671B7-703E-4206-ACBC-014DFB88C9B3}"/>
    <cellStyle name="Output 5 20" xfId="1742" xr:uid="{E7367902-E3C4-42EA-9903-69B5600ADC0E}"/>
    <cellStyle name="Output 5 20 2" xfId="1743" xr:uid="{9C56CF17-D289-451E-93C0-251FB53528F6}"/>
    <cellStyle name="Output 5 21" xfId="1744" xr:uid="{372785AB-A6F3-4185-9A69-93B9926A8063}"/>
    <cellStyle name="Output 5 21 2" xfId="1745" xr:uid="{85E5ADE3-B67E-431E-A955-16D09CA7C73D}"/>
    <cellStyle name="Output 5 22" xfId="1746" xr:uid="{A22064AE-FFC1-4A0B-A4F2-8B292470FDA5}"/>
    <cellStyle name="Output 5 3" xfId="1747" xr:uid="{3CE50324-BA6D-4EE8-86C1-666CD4887E6C}"/>
    <cellStyle name="Output 5 3 2" xfId="1748" xr:uid="{ADF5BD2C-E745-4BD2-B99E-465D1779A5A2}"/>
    <cellStyle name="Output 5 4" xfId="1749" xr:uid="{C829F462-7EF8-48F4-81D4-F5B5DD427D8F}"/>
    <cellStyle name="Output 5 4 2" xfId="1750" xr:uid="{142D19BD-6071-4006-9D2E-B831FDDB91EA}"/>
    <cellStyle name="Output 5 5" xfId="1751" xr:uid="{1D93EBA7-09E4-4BDF-91FB-614B6C3DD271}"/>
    <cellStyle name="Output 5 5 2" xfId="1752" xr:uid="{63C883A8-1082-4708-AC6A-D04ED19FCD10}"/>
    <cellStyle name="Output 5 6" xfId="1753" xr:uid="{7A259FD1-CE3B-4A9B-8F53-B892A75BDC0B}"/>
    <cellStyle name="Output 5 6 2" xfId="1754" xr:uid="{7BCE6BDB-8F88-456C-8B9A-C8DC7B4E0103}"/>
    <cellStyle name="Output 5 7" xfId="1755" xr:uid="{1E0D1E66-92DB-4CDF-B28C-CE8410971F29}"/>
    <cellStyle name="Output 5 7 2" xfId="1756" xr:uid="{3D9BF0C6-EC87-4F11-9A72-34541DBD4AC5}"/>
    <cellStyle name="Output 5 8" xfId="1757" xr:uid="{4BD4D1BC-A3DA-4D93-BAE3-AA7308A74FEC}"/>
    <cellStyle name="Output 5 8 2" xfId="1758" xr:uid="{EAEE7091-0B2C-41A6-957D-CFEFB436E16A}"/>
    <cellStyle name="Output 5 9" xfId="1759" xr:uid="{CC34B36C-0347-47E2-B39A-52C84114CC17}"/>
    <cellStyle name="Output 5 9 2" xfId="1760" xr:uid="{B16937AB-9646-4717-892A-8D3E9C60CDCD}"/>
    <cellStyle name="Output 6" xfId="1761" xr:uid="{161BD978-EB33-4628-A47A-4294CAC05358}"/>
    <cellStyle name="Output 6 10" xfId="1762" xr:uid="{E0655621-5514-4A0E-8A37-2F90B1B96758}"/>
    <cellStyle name="Output 6 10 2" xfId="1763" xr:uid="{DAE71CFC-E623-4620-AA38-7335BAD749CA}"/>
    <cellStyle name="Output 6 11" xfId="1764" xr:uid="{C1BE7D03-22F4-4980-BEB8-EAF70E2D8149}"/>
    <cellStyle name="Output 6 11 2" xfId="1765" xr:uid="{0BAC4537-46E3-48BE-B318-4EB124A29DFA}"/>
    <cellStyle name="Output 6 12" xfId="1766" xr:uid="{EAEBE2BA-27D5-4EFA-B261-2BAC95F340D2}"/>
    <cellStyle name="Output 6 12 2" xfId="1767" xr:uid="{B5D09EE7-D607-4EFE-A98A-A0A811F12F5A}"/>
    <cellStyle name="Output 6 13" xfId="1768" xr:uid="{372EB9CA-EA22-4110-929B-0485E399500F}"/>
    <cellStyle name="Output 6 13 2" xfId="1769" xr:uid="{529B773B-C5E3-4AB5-B677-BB9B8A609659}"/>
    <cellStyle name="Output 6 14" xfId="1770" xr:uid="{4C6CDE9A-A88F-4FF0-8571-84023C59A78E}"/>
    <cellStyle name="Output 6 14 2" xfId="1771" xr:uid="{6DE31856-4E19-412E-A9CA-21835D7CAD2F}"/>
    <cellStyle name="Output 6 15" xfId="1772" xr:uid="{3F86A449-0D42-42FB-AEA4-444643F304D2}"/>
    <cellStyle name="Output 6 15 2" xfId="1773" xr:uid="{51B99EBD-AB2F-4319-B7C0-72B3D130E8DE}"/>
    <cellStyle name="Output 6 16" xfId="1774" xr:uid="{9E27D256-BDA2-442E-A95E-00F3DDB48A2D}"/>
    <cellStyle name="Output 6 16 2" xfId="1775" xr:uid="{C7CFBA4F-1884-46D2-82C6-F67A7B4D4B80}"/>
    <cellStyle name="Output 6 17" xfId="1776" xr:uid="{249E0A0A-576C-49ED-811D-EA8D32E04289}"/>
    <cellStyle name="Output 6 17 2" xfId="1777" xr:uid="{E3DA80BD-4517-40B4-BC0B-A9369ADCAC95}"/>
    <cellStyle name="Output 6 18" xfId="1778" xr:uid="{7B22E339-4771-41C9-BCAD-5441230F18BB}"/>
    <cellStyle name="Output 6 18 2" xfId="1779" xr:uid="{CE36BCD7-F416-4284-84F6-5A6C39C9EFEA}"/>
    <cellStyle name="Output 6 19" xfId="1780" xr:uid="{581F4779-2EE2-4111-9D76-CD1A701E07F1}"/>
    <cellStyle name="Output 6 19 2" xfId="1781" xr:uid="{8ED0AC2A-AFDB-4B9D-BE8D-8F38A7BAFEAC}"/>
    <cellStyle name="Output 6 2" xfId="1782" xr:uid="{55ADC137-4220-4435-A3FF-8F872D217309}"/>
    <cellStyle name="Output 6 2 2" xfId="1783" xr:uid="{2CEA873A-BFC5-41F5-AA67-630026F41F72}"/>
    <cellStyle name="Output 6 20" xfId="1784" xr:uid="{C48FC92A-A2CF-4AAB-B511-84228890DED1}"/>
    <cellStyle name="Output 6 20 2" xfId="1785" xr:uid="{1F15CC0B-0598-4C85-BF2E-4B369E4E0697}"/>
    <cellStyle name="Output 6 21" xfId="1786" xr:uid="{AD7149D1-CB18-416D-B4B3-29F794E5D42F}"/>
    <cellStyle name="Output 6 21 2" xfId="1787" xr:uid="{63AC455A-EC84-4E2A-A7D7-C1A2AC532C5F}"/>
    <cellStyle name="Output 6 22" xfId="1788" xr:uid="{E6DDFEB4-1DA3-49D0-A8F4-B82D5185FBFB}"/>
    <cellStyle name="Output 6 3" xfId="1789" xr:uid="{14D40203-66BA-4037-B09E-C1F3EA9AE5FE}"/>
    <cellStyle name="Output 6 3 2" xfId="1790" xr:uid="{7A84FF4E-FB16-42E1-8BB8-A76FB4860113}"/>
    <cellStyle name="Output 6 4" xfId="1791" xr:uid="{C533A845-B3B5-43BC-82C7-DC1AA71803F6}"/>
    <cellStyle name="Output 6 4 2" xfId="1792" xr:uid="{5D2E08EC-40DC-45FD-BDB9-A23310413996}"/>
    <cellStyle name="Output 6 5" xfId="1793" xr:uid="{22FB60F2-BD8F-4C85-837A-EEA4008C06FF}"/>
    <cellStyle name="Output 6 5 2" xfId="1794" xr:uid="{0F87F11C-DA7B-49F0-9733-052F2B05D131}"/>
    <cellStyle name="Output 6 6" xfId="1795" xr:uid="{CE3B4BC9-AA01-48C3-B929-9A6351078D8E}"/>
    <cellStyle name="Output 6 6 2" xfId="1796" xr:uid="{A52DA6B7-A302-42AA-8EC4-01BEE77B0747}"/>
    <cellStyle name="Output 6 7" xfId="1797" xr:uid="{06F9D9AD-F2D3-4542-BE48-3F4EAAD0B88B}"/>
    <cellStyle name="Output 6 7 2" xfId="1798" xr:uid="{84A982BC-FA9A-45E0-801C-B30AB4ED97DB}"/>
    <cellStyle name="Output 6 8" xfId="1799" xr:uid="{59531DC0-532E-434B-9ABC-2DA828DBD6EB}"/>
    <cellStyle name="Output 6 8 2" xfId="1800" xr:uid="{525D54F2-D852-416D-9387-CDCD4864E510}"/>
    <cellStyle name="Output 6 9" xfId="1801" xr:uid="{48C17678-09E7-4517-B53C-5A9B1CCF7C7F}"/>
    <cellStyle name="Output 6 9 2" xfId="1802" xr:uid="{DAB2D4D6-F2C6-49A2-BC4D-3EA6862BEA0B}"/>
    <cellStyle name="Output 7" xfId="1803" xr:uid="{D5D605FD-37FC-4B8B-9528-A61317870025}"/>
    <cellStyle name="Output 7 10" xfId="1804" xr:uid="{1C5E0FB5-B7CE-4387-B617-64FD2527863D}"/>
    <cellStyle name="Output 7 10 2" xfId="1805" xr:uid="{652520F2-E159-4FD7-B478-7FAB61D23D4C}"/>
    <cellStyle name="Output 7 11" xfId="1806" xr:uid="{830C917F-4A01-45F4-B3AD-04D255E639A0}"/>
    <cellStyle name="Output 7 11 2" xfId="1807" xr:uid="{DCF92758-44BE-43E0-97C6-688E2B6DF187}"/>
    <cellStyle name="Output 7 12" xfId="1808" xr:uid="{31449EBF-B41C-47C6-9F78-EDE5237C7F8F}"/>
    <cellStyle name="Output 7 12 2" xfId="1809" xr:uid="{63B1B911-D8B3-40D6-AC1C-30230AB2A774}"/>
    <cellStyle name="Output 7 13" xfId="1810" xr:uid="{281BFF73-E8C6-44AE-AF47-EE4CC74FBCCF}"/>
    <cellStyle name="Output 7 13 2" xfId="1811" xr:uid="{68F2FC67-571A-42A2-A1F5-B1C4CB52D390}"/>
    <cellStyle name="Output 7 14" xfId="1812" xr:uid="{B6C7E3F4-C76D-421B-BC3D-39CBEEA76B29}"/>
    <cellStyle name="Output 7 14 2" xfId="1813" xr:uid="{488F0704-B331-41D6-9429-CE98F68280C2}"/>
    <cellStyle name="Output 7 15" xfId="1814" xr:uid="{D23E0D5B-7652-487C-AC72-3D505B3A690B}"/>
    <cellStyle name="Output 7 15 2" xfId="1815" xr:uid="{B0787626-014E-4917-919C-44A38380D9A9}"/>
    <cellStyle name="Output 7 16" xfId="1816" xr:uid="{9E8BE2D2-B863-498F-8D8A-2DE8B24C4E20}"/>
    <cellStyle name="Output 7 16 2" xfId="1817" xr:uid="{26BF5EF6-5187-4BDD-B01A-3B777DCC56EB}"/>
    <cellStyle name="Output 7 17" xfId="1818" xr:uid="{666B34D7-217D-4DA5-8363-856B1D3F090B}"/>
    <cellStyle name="Output 7 17 2" xfId="1819" xr:uid="{45C62043-6E11-4E8C-9C48-B9694DD902A9}"/>
    <cellStyle name="Output 7 18" xfId="1820" xr:uid="{E8738161-9A02-4149-A412-C13DF0173A52}"/>
    <cellStyle name="Output 7 18 2" xfId="1821" xr:uid="{9E5E3F8C-D06F-4355-BCB8-A337DACDF176}"/>
    <cellStyle name="Output 7 19" xfId="1822" xr:uid="{91E67154-014E-4521-9A41-D85545CE7604}"/>
    <cellStyle name="Output 7 19 2" xfId="1823" xr:uid="{0879DF77-9993-400B-9AC1-1B009A1AC755}"/>
    <cellStyle name="Output 7 2" xfId="1824" xr:uid="{8B085066-6D14-4D7C-8BA0-8441F3338A41}"/>
    <cellStyle name="Output 7 2 2" xfId="1825" xr:uid="{497AA0A2-58A8-42DC-B19D-A6D8CF1C61DB}"/>
    <cellStyle name="Output 7 20" xfId="1826" xr:uid="{17BFF7B3-D276-4047-AEAA-43FCEE5EEEB0}"/>
    <cellStyle name="Output 7 20 2" xfId="1827" xr:uid="{5735740A-2189-4B2F-88A8-AFB1B1E85C35}"/>
    <cellStyle name="Output 7 21" xfId="1828" xr:uid="{9936CD26-B2FE-4E62-BF64-996F5E27E534}"/>
    <cellStyle name="Output 7 21 2" xfId="1829" xr:uid="{08D31875-7608-4668-A8F7-899B63DE644E}"/>
    <cellStyle name="Output 7 22" xfId="1830" xr:uid="{F8873329-EAF5-4883-B56E-F48BDA55F1CF}"/>
    <cellStyle name="Output 7 3" xfId="1831" xr:uid="{BB1A3654-C06E-477D-919E-64392E1C8473}"/>
    <cellStyle name="Output 7 3 2" xfId="1832" xr:uid="{EA4A1F41-1514-4B22-836F-25796C485090}"/>
    <cellStyle name="Output 7 4" xfId="1833" xr:uid="{3AF4BC4E-7B63-4211-BEA7-D12772FBF3E3}"/>
    <cellStyle name="Output 7 4 2" xfId="1834" xr:uid="{DBE4B4D9-9A0F-4379-B6A5-1E545E77DE45}"/>
    <cellStyle name="Output 7 5" xfId="1835" xr:uid="{AE8F948B-BB60-4689-AC52-9D636076ADD8}"/>
    <cellStyle name="Output 7 5 2" xfId="1836" xr:uid="{62F3CE8B-50FF-4F4F-A83D-4A8F1102C874}"/>
    <cellStyle name="Output 7 6" xfId="1837" xr:uid="{44BD8BAC-6E5F-40B5-A6A4-627EB5618B3A}"/>
    <cellStyle name="Output 7 6 2" xfId="1838" xr:uid="{43289EA7-F110-4BDC-BC18-A7065B6F745E}"/>
    <cellStyle name="Output 7 7" xfId="1839" xr:uid="{17895E0E-484B-4A01-9D14-CCD28C4B6DE7}"/>
    <cellStyle name="Output 7 7 2" xfId="1840" xr:uid="{3244B0A9-7160-4DB1-A29F-F54E632B0CAF}"/>
    <cellStyle name="Output 7 8" xfId="1841" xr:uid="{283D68F1-63A5-4E79-B881-495A1644EFAA}"/>
    <cellStyle name="Output 7 8 2" xfId="1842" xr:uid="{50394B73-9D2F-46BE-813B-331CC2DA7437}"/>
    <cellStyle name="Output 7 9" xfId="1843" xr:uid="{F3F86D59-3FFB-456C-A428-FE9F7FA3A55B}"/>
    <cellStyle name="Output 7 9 2" xfId="1844" xr:uid="{0795D46E-A375-43DA-B497-98EAC13BE133}"/>
    <cellStyle name="Output 8" xfId="1845" xr:uid="{A953C9C1-24A6-44CC-80E2-1D07AF194C6B}"/>
    <cellStyle name="Output 8 10" xfId="1846" xr:uid="{B8CA0FA3-930C-4160-BAE1-6A8BA59FE218}"/>
    <cellStyle name="Output 8 10 2" xfId="1847" xr:uid="{E109BCDF-3845-4EA5-A87F-765C93B7A86C}"/>
    <cellStyle name="Output 8 11" xfId="1848" xr:uid="{A2AEA264-D36C-4035-A3FD-99D68A6EDCD1}"/>
    <cellStyle name="Output 8 11 2" xfId="1849" xr:uid="{5D4531FE-E9A0-488F-9B6A-59DE6BB9F9A6}"/>
    <cellStyle name="Output 8 12" xfId="1850" xr:uid="{95F82776-CB4C-48C9-B704-2427CDE2808B}"/>
    <cellStyle name="Output 8 12 2" xfId="1851" xr:uid="{A086267D-4E55-498A-B848-33810B81BEF2}"/>
    <cellStyle name="Output 8 13" xfId="1852" xr:uid="{DB767873-9678-4413-A1C5-08D5F48E126B}"/>
    <cellStyle name="Output 8 13 2" xfId="1853" xr:uid="{AB4CBD79-0953-4EF5-8224-5376DA1A5E8F}"/>
    <cellStyle name="Output 8 14" xfId="1854" xr:uid="{51B275BF-B322-4BA5-9DC9-D4B895CFF6E2}"/>
    <cellStyle name="Output 8 14 2" xfId="1855" xr:uid="{D3B356FA-3D45-49B1-B8FE-6A3D87405BB2}"/>
    <cellStyle name="Output 8 15" xfId="1856" xr:uid="{74E329AF-9E7D-4B9A-B2C8-0814EF849F42}"/>
    <cellStyle name="Output 8 15 2" xfId="1857" xr:uid="{FAF9F1F1-B07F-43C1-9324-0ABF56BBC586}"/>
    <cellStyle name="Output 8 16" xfId="1858" xr:uid="{24249AE8-1FEA-4A99-9F52-8F225E1A575B}"/>
    <cellStyle name="Output 8 16 2" xfId="1859" xr:uid="{E7489E30-518E-41F1-A68C-64AC6586CC06}"/>
    <cellStyle name="Output 8 17" xfId="1860" xr:uid="{B3F273AB-FF24-40A1-A3A0-BE37677212DC}"/>
    <cellStyle name="Output 8 17 2" xfId="1861" xr:uid="{79011511-0D73-4AD8-8F6A-9C91F309952E}"/>
    <cellStyle name="Output 8 18" xfId="1862" xr:uid="{903E24A4-F83D-453B-A057-FF5F05CAE343}"/>
    <cellStyle name="Output 8 18 2" xfId="1863" xr:uid="{D9299CE1-566C-4461-8C27-B3E54378A927}"/>
    <cellStyle name="Output 8 19" xfId="1864" xr:uid="{4CBCD846-A53F-4548-BBDD-A2D3965EF88B}"/>
    <cellStyle name="Output 8 19 2" xfId="1865" xr:uid="{1E8043B8-E6CC-4B1D-8E58-619E9E01ADF3}"/>
    <cellStyle name="Output 8 2" xfId="1866" xr:uid="{60F25F0A-CB75-42EB-8784-A71777F3600F}"/>
    <cellStyle name="Output 8 2 2" xfId="1867" xr:uid="{A73B10BE-4CEA-407C-856F-D1BC645F75F7}"/>
    <cellStyle name="Output 8 20" xfId="1868" xr:uid="{79564BAE-4F5C-476A-8ECB-0CA83A30A46B}"/>
    <cellStyle name="Output 8 20 2" xfId="1869" xr:uid="{532DBEF7-9D46-48E5-AD6B-0A8C7933FF85}"/>
    <cellStyle name="Output 8 21" xfId="1870" xr:uid="{8138D2A1-FC44-44B6-BDE6-D8DA145909A1}"/>
    <cellStyle name="Output 8 21 2" xfId="1871" xr:uid="{0C216222-7163-4B09-939A-726CB02B49FE}"/>
    <cellStyle name="Output 8 22" xfId="1872" xr:uid="{FC6E3F82-FFA3-40BE-BF01-51F7470544E5}"/>
    <cellStyle name="Output 8 3" xfId="1873" xr:uid="{F000E092-F6AE-4F09-9B8B-5B815554E57D}"/>
    <cellStyle name="Output 8 3 2" xfId="1874" xr:uid="{A0C3066F-DC34-4E1C-BE26-152593AACC51}"/>
    <cellStyle name="Output 8 4" xfId="1875" xr:uid="{CD5A6FB0-8894-4AC4-874D-C760FA3011DA}"/>
    <cellStyle name="Output 8 4 2" xfId="1876" xr:uid="{E1C9862C-6569-4E42-B8BB-ED87DFF461DB}"/>
    <cellStyle name="Output 8 5" xfId="1877" xr:uid="{6709C24B-497F-43A2-B289-56E0E8AF2480}"/>
    <cellStyle name="Output 8 5 2" xfId="1878" xr:uid="{6F23EC89-110B-4227-900A-3F2B13244DE4}"/>
    <cellStyle name="Output 8 6" xfId="1879" xr:uid="{743E72FB-3E88-4590-BB91-68A39972319A}"/>
    <cellStyle name="Output 8 6 2" xfId="1880" xr:uid="{3A41984A-2DDC-4D14-81C6-0FFCF2748E4B}"/>
    <cellStyle name="Output 8 7" xfId="1881" xr:uid="{9E28F817-924F-4BB5-B712-6044F19CD1AE}"/>
    <cellStyle name="Output 8 7 2" xfId="1882" xr:uid="{C28FEF91-1488-4445-ADE2-C74BE2334962}"/>
    <cellStyle name="Output 8 8" xfId="1883" xr:uid="{24087CB2-6A36-42B6-821A-68498FF0709E}"/>
    <cellStyle name="Output 8 8 2" xfId="1884" xr:uid="{49C48883-198D-4C81-B174-579FCB5B0F59}"/>
    <cellStyle name="Output 8 9" xfId="1885" xr:uid="{A35BC9F4-B83E-4101-A2F4-6B27829E8CF9}"/>
    <cellStyle name="Output 8 9 2" xfId="1886" xr:uid="{9B29D4DA-353A-439B-AA5C-F65FF06D0294}"/>
    <cellStyle name="Output 9" xfId="1887" xr:uid="{93915705-BF24-4D08-A899-DC7875CDE30E}"/>
    <cellStyle name="Output 9 10" xfId="1888" xr:uid="{07867F15-9375-4BE4-85E3-649809EE0AC0}"/>
    <cellStyle name="Output 9 10 2" xfId="1889" xr:uid="{40B409D8-462D-4B27-BD25-7D29F06BCC18}"/>
    <cellStyle name="Output 9 11" xfId="1890" xr:uid="{CAB7DCCA-7588-4D19-AA1C-ABE888B7E37E}"/>
    <cellStyle name="Output 9 11 2" xfId="1891" xr:uid="{755D7C0C-BF03-4574-B110-64A6AF87BA3E}"/>
    <cellStyle name="Output 9 12" xfId="1892" xr:uid="{CA42F3F2-B1AB-4B9E-836D-F8239F2A0E2D}"/>
    <cellStyle name="Output 9 12 2" xfId="1893" xr:uid="{8E380FE0-FE2F-4C01-9F31-55B09A5DFB15}"/>
    <cellStyle name="Output 9 13" xfId="1894" xr:uid="{1F7ADEB2-3039-474C-8585-9740DDBBDBD4}"/>
    <cellStyle name="Output 9 13 2" xfId="1895" xr:uid="{71A950B3-016E-41CD-97B6-1A6BA87BDB47}"/>
    <cellStyle name="Output 9 14" xfId="1896" xr:uid="{EEFA8887-7A6D-4622-92D7-0EA6331BCB2B}"/>
    <cellStyle name="Output 9 14 2" xfId="1897" xr:uid="{A1266341-6EE2-445A-B2C0-80469CE7F06D}"/>
    <cellStyle name="Output 9 15" xfId="1898" xr:uid="{750BFFC2-116D-486E-8F49-16C1D136261F}"/>
    <cellStyle name="Output 9 15 2" xfId="1899" xr:uid="{12CE9F7E-3522-40CB-9191-C2B138F55CCF}"/>
    <cellStyle name="Output 9 16" xfId="1900" xr:uid="{7DFBB7C3-4C6A-4BD1-81E1-DC40E6D16A78}"/>
    <cellStyle name="Output 9 16 2" xfId="1901" xr:uid="{275A661B-31E4-40C4-A201-59B3BDF6D8D4}"/>
    <cellStyle name="Output 9 17" xfId="1902" xr:uid="{68020C77-D437-4552-8377-C1279E43EA51}"/>
    <cellStyle name="Output 9 17 2" xfId="1903" xr:uid="{7FE80D2E-D344-40C7-B8CB-869E44A680F5}"/>
    <cellStyle name="Output 9 18" xfId="1904" xr:uid="{4A024141-D848-44B6-8040-FDFF25A3ECC6}"/>
    <cellStyle name="Output 9 18 2" xfId="1905" xr:uid="{7D41B429-B486-4C54-9D8C-48E85AFA56F1}"/>
    <cellStyle name="Output 9 19" xfId="1906" xr:uid="{EDEE436B-CDE6-43AC-9622-57FC3C019217}"/>
    <cellStyle name="Output 9 19 2" xfId="1907" xr:uid="{2B9AEDA4-36FF-497D-A420-668391F096D1}"/>
    <cellStyle name="Output 9 2" xfId="1908" xr:uid="{6BAB8603-998C-4834-946E-118307805AD9}"/>
    <cellStyle name="Output 9 2 2" xfId="1909" xr:uid="{B32966E2-4A46-4268-8A70-A33FAD6995E8}"/>
    <cellStyle name="Output 9 20" xfId="1910" xr:uid="{AC85150F-8C72-4C8B-BCCF-14B268A32477}"/>
    <cellStyle name="Output 9 20 2" xfId="1911" xr:uid="{6BDB5CB6-33CD-416E-8F52-1250A606E9C8}"/>
    <cellStyle name="Output 9 21" xfId="1912" xr:uid="{554F2580-04BD-4C1C-8AC9-E584358C7E58}"/>
    <cellStyle name="Output 9 21 2" xfId="1913" xr:uid="{1F3AC8B6-218B-4446-A183-2F44741FF14E}"/>
    <cellStyle name="Output 9 22" xfId="1914" xr:uid="{A26EA2B8-3E8A-4E2C-B8D9-FAA5E5D0653E}"/>
    <cellStyle name="Output 9 3" xfId="1915" xr:uid="{A801606F-DDB7-498A-8745-E32953681FDB}"/>
    <cellStyle name="Output 9 3 2" xfId="1916" xr:uid="{8DCC9406-433B-4002-986F-36F9C407CAB4}"/>
    <cellStyle name="Output 9 4" xfId="1917" xr:uid="{3FDAA5AC-9F3F-49D4-AC38-36848BB629D7}"/>
    <cellStyle name="Output 9 4 2" xfId="1918" xr:uid="{125A7C7F-F20B-41B1-8237-C38BFDE5D7A6}"/>
    <cellStyle name="Output 9 5" xfId="1919" xr:uid="{9BF41E58-7D29-470D-B573-FEFB4F81B260}"/>
    <cellStyle name="Output 9 5 2" xfId="1920" xr:uid="{93EC0070-D5B2-477F-86BC-DD0D08E2223C}"/>
    <cellStyle name="Output 9 6" xfId="1921" xr:uid="{64BFCE11-E001-4601-A3CB-0D1E56B37DEE}"/>
    <cellStyle name="Output 9 6 2" xfId="1922" xr:uid="{A944E067-6818-4F8E-836F-10E359A27763}"/>
    <cellStyle name="Output 9 7" xfId="1923" xr:uid="{E51FDB35-E774-4A6A-B031-20DF9678E826}"/>
    <cellStyle name="Output 9 7 2" xfId="1924" xr:uid="{D1BEB8BE-16E4-4C3C-8B3A-1FBEF8BDB6F9}"/>
    <cellStyle name="Output 9 8" xfId="1925" xr:uid="{0E713541-198C-4C68-8890-A50CE500F69F}"/>
    <cellStyle name="Output 9 8 2" xfId="1926" xr:uid="{514CAF82-699E-4327-8E4D-E17D9CA331E1}"/>
    <cellStyle name="Output 9 9" xfId="1927" xr:uid="{B2BE4113-89D1-4059-A0F4-5A892F3DFE9C}"/>
    <cellStyle name="Output 9 9 2" xfId="1928" xr:uid="{75CF4CB1-E990-4B39-B625-954231A981DB}"/>
    <cellStyle name="Percent 2" xfId="1929" xr:uid="{A7E54E2A-3528-48D6-A035-BC9D21F9767D}"/>
    <cellStyle name="Poznámka" xfId="17" builtinId="10" customBuiltin="1"/>
    <cellStyle name="Poznámka 10" xfId="2543" xr:uid="{DB0F8E17-B47F-4F33-867B-BD80DE508649}"/>
    <cellStyle name="Poznámka 11" xfId="2557" xr:uid="{FAB795C4-81EC-4F2F-86AD-D8E109D750CE}"/>
    <cellStyle name="Poznámka 12" xfId="2571" xr:uid="{610336E1-CA1E-40ED-9E54-8803AD9C5838}"/>
    <cellStyle name="Poznámka 13" xfId="2585" xr:uid="{161CCBAE-5EDD-42AE-AC7A-750B8478729F}"/>
    <cellStyle name="Poznámka 14" xfId="2599" xr:uid="{16C48C55-D832-47FE-8D9D-9ADF3652BB91}"/>
    <cellStyle name="Poznámka 15" xfId="2613" xr:uid="{3B8A27B9-1552-41C5-AC02-2FDD4344A107}"/>
    <cellStyle name="Poznámka 16" xfId="2627" xr:uid="{489BBC5A-F45B-4BED-9DF8-5E0FC55DB50B}"/>
    <cellStyle name="Poznámka 17" xfId="2641" xr:uid="{E38534D2-3B5C-4D80-86DD-B775BC2F329D}"/>
    <cellStyle name="Poznámka 18" xfId="2655" xr:uid="{D524F2A5-9011-428D-8FD7-6FB7692C1BB2}"/>
    <cellStyle name="Poznámka 19" xfId="2669" xr:uid="{72A3D4DB-708F-4818-8350-B2122B1207AC}"/>
    <cellStyle name="Poznámka 2" xfId="1930" xr:uid="{7FFBB12B-D245-47A2-B889-2294349790BC}"/>
    <cellStyle name="Poznámka 20" xfId="2683" xr:uid="{97D0917F-63F9-4B78-BBF8-11488E682C98}"/>
    <cellStyle name="Poznámka 21" xfId="2697" xr:uid="{03A668A4-94D1-4444-9293-16166E0A5DA0}"/>
    <cellStyle name="Poznámka 22" xfId="2711" xr:uid="{4C41EBF3-214C-45E3-B515-864E80D82EEC}"/>
    <cellStyle name="Poznámka 23" xfId="2725" xr:uid="{68248D20-4F0A-4E9D-B487-EE3AB865F9CE}"/>
    <cellStyle name="Poznámka 24" xfId="2742" xr:uid="{2BF666C5-E89A-4937-A5D9-1993F0E2A44A}"/>
    <cellStyle name="Poznámka 3" xfId="1931" xr:uid="{F0A3E116-57AF-48D3-A4D6-EA6CB12EAE6C}"/>
    <cellStyle name="Poznámka 4" xfId="2459" xr:uid="{0CB22CB7-CA6D-4D51-88FE-715784B49E40}"/>
    <cellStyle name="Poznámka 5" xfId="2473" xr:uid="{025B9CD9-BC44-4D75-848A-7F12F1046AB0}"/>
    <cellStyle name="Poznámka 6" xfId="2487" xr:uid="{C086E809-7AF1-45EF-809D-08A16D09C91B}"/>
    <cellStyle name="Poznámka 7" xfId="2501" xr:uid="{1BA75EA6-4BE5-4DC2-8E45-BBEA06B6206B}"/>
    <cellStyle name="Poznámka 8" xfId="2515" xr:uid="{39C998C5-B784-4741-B3A1-90AF4A41DAC5}"/>
    <cellStyle name="Poznámka 9" xfId="2529" xr:uid="{2396CA38-766A-47A9-83C7-ECD9A4F0D9CB}"/>
    <cellStyle name="Procenta" xfId="3" builtinId="5"/>
    <cellStyle name="Procenta 2" xfId="1933" xr:uid="{FE69CD08-2E57-42F7-961A-5A01D65F35A1}"/>
    <cellStyle name="Procenta 3" xfId="2738" xr:uid="{A0628348-8A72-486F-BA89-89E5C4BF6283}"/>
    <cellStyle name="Procenta 4" xfId="1932" xr:uid="{1DE5A613-EA7B-4BA6-9062-6B044178C620}"/>
    <cellStyle name="Propojená buňka" xfId="14" builtinId="24" customBuiltin="1"/>
    <cellStyle name="Prozent 2" xfId="1934" xr:uid="{6C7C67CA-7E7F-4EA3-B16D-70A17C6B5277}"/>
    <cellStyle name="Prozent 3" xfId="1935" xr:uid="{D62608D9-D5B1-40FF-A81F-AD2D12E0E035}"/>
    <cellStyle name="Správně" xfId="9" builtinId="26" customBuiltin="1"/>
    <cellStyle name="Standard 10" xfId="1936" xr:uid="{63F63FD5-C4C3-4134-B4AC-7ED333A172B3}"/>
    <cellStyle name="Standard 10 2" xfId="1937" xr:uid="{7942DB68-6636-4538-AD8D-3D4AA62BC557}"/>
    <cellStyle name="Standard 10 2 2" xfId="1938" xr:uid="{00920D3E-4242-4417-8AE5-8A8601AEEF92}"/>
    <cellStyle name="Standard 10 3" xfId="1939" xr:uid="{7903DCDC-C2AB-4A48-8937-81EF0B705A1B}"/>
    <cellStyle name="Standard 10 3 2" xfId="1940" xr:uid="{74BBD823-DB62-4DF3-8F5A-BEAB16E576EC}"/>
    <cellStyle name="Standard 10 4" xfId="1941" xr:uid="{74B0578F-6EC2-4754-B6EC-CBB1D1657CB6}"/>
    <cellStyle name="Standard 11" xfId="1942" xr:uid="{75D5D07E-9243-440B-8082-46EC8D13CD13}"/>
    <cellStyle name="Standard 12" xfId="1943" xr:uid="{61F6DA55-2FA8-4DCD-B043-EFA3B78DC4E9}"/>
    <cellStyle name="Standard 13" xfId="1944" xr:uid="{09F72851-3C81-4366-96AC-BC91B600BC41}"/>
    <cellStyle name="Standard 14" xfId="1945" xr:uid="{75D0303B-6EF6-4466-81EA-FF3D1462B6BB}"/>
    <cellStyle name="Standard 15" xfId="1946" xr:uid="{65EF5C26-5171-4825-B387-519C4EA40983}"/>
    <cellStyle name="Standard 16" xfId="1947" xr:uid="{820D4640-1E66-495B-8780-9921B7EF6FC6}"/>
    <cellStyle name="Standard 16 2" xfId="1948" xr:uid="{02103B34-4780-4422-91FC-A74F1512BCAF}"/>
    <cellStyle name="Standard 17" xfId="1949" xr:uid="{C9EBA142-0A24-4B40-9B96-6D57D7104838}"/>
    <cellStyle name="Standard 2" xfId="1950" xr:uid="{4997BEFC-DE7C-4E47-AD27-683131DF3157}"/>
    <cellStyle name="Standard 2 2" xfId="1951" xr:uid="{AF850823-AB5D-4A5D-B1DA-95A32667A4BF}"/>
    <cellStyle name="Standard 3" xfId="1952" xr:uid="{4C7CC04E-8813-4B83-872F-7D0786A59C2C}"/>
    <cellStyle name="Standard 3 2" xfId="1953" xr:uid="{12160796-051F-4D1D-80A1-BA6D8F367364}"/>
    <cellStyle name="Standard 3 3" xfId="1954" xr:uid="{1684C8BC-3B4C-4D75-BB50-865A38CB334E}"/>
    <cellStyle name="Standard 4" xfId="1955" xr:uid="{39AA596A-2584-4F34-AC91-E7A863A70274}"/>
    <cellStyle name="Standard 4 2" xfId="1956" xr:uid="{1AD4581F-21F0-4596-8127-C5C2A96EC53F}"/>
    <cellStyle name="Standard 5" xfId="1957" xr:uid="{CCF0B8F0-A069-4132-ABCA-3086EBDFA2F0}"/>
    <cellStyle name="Standard 6" xfId="1958" xr:uid="{509790E1-0FB8-4359-8767-AE7CA2A74037}"/>
    <cellStyle name="Standard 7" xfId="1959" xr:uid="{75C077B9-D89E-4551-B1D4-C535319397F5}"/>
    <cellStyle name="Standard 7 2" xfId="1960" xr:uid="{047C105E-80E2-431F-920B-6BB1A67CD2FF}"/>
    <cellStyle name="Standard 7 2 2" xfId="1961" xr:uid="{FEDE54ED-A664-40EE-83FB-1619D43C4D78}"/>
    <cellStyle name="Standard 7 3" xfId="1962" xr:uid="{A36914D9-0E41-42D8-A849-7D68020CAA35}"/>
    <cellStyle name="Standard 8" xfId="1963" xr:uid="{69A36486-6416-454D-AF27-34FE4B40F1B1}"/>
    <cellStyle name="Standard 8 2" xfId="1964" xr:uid="{A36EAF21-C9C8-4E07-A425-AE4C90503A1E}"/>
    <cellStyle name="Standard 9" xfId="1965" xr:uid="{BA58DAB9-C106-4DA9-A291-CF322EFEF0EC}"/>
    <cellStyle name="Standard 9 2" xfId="1966" xr:uid="{835C6656-7379-4C1B-8A72-FA426AD3F45E}"/>
    <cellStyle name="Špatně" xfId="10" builtinId="27" customBuiltin="1"/>
    <cellStyle name="Text upozornění" xfId="16" builtinId="11" customBuiltin="1"/>
    <cellStyle name="Title" xfId="1967" xr:uid="{F06F8EF1-42D1-4A2B-A7F7-24214247F04B}"/>
    <cellStyle name="Title 2" xfId="1968" xr:uid="{07DEE11C-1C12-4FF5-8CCC-589B2836A030}"/>
    <cellStyle name="Total" xfId="1969" xr:uid="{9968F39E-C4B1-4D87-9993-2006F1F2BCF4}"/>
    <cellStyle name="Total 10" xfId="1970" xr:uid="{99A73602-E6FA-44F1-B2F5-8B8225065D7D}"/>
    <cellStyle name="Total 10 10" xfId="1971" xr:uid="{557B2B5C-1FA1-4011-8679-9CBE7415ABFF}"/>
    <cellStyle name="Total 10 10 2" xfId="1972" xr:uid="{176B4B95-FB48-4646-9EB1-165315318FD0}"/>
    <cellStyle name="Total 10 11" xfId="1973" xr:uid="{A5487C2D-1553-469A-BE1F-7DE1A716B3D0}"/>
    <cellStyle name="Total 10 11 2" xfId="1974" xr:uid="{DF30E872-7908-4EDA-BF45-3FD7564E0453}"/>
    <cellStyle name="Total 10 12" xfId="1975" xr:uid="{6ED738A6-2341-46AD-A316-39FF8149D1BB}"/>
    <cellStyle name="Total 10 12 2" xfId="1976" xr:uid="{20E85FDC-DD30-4426-A853-8A93BF9A95BC}"/>
    <cellStyle name="Total 10 13" xfId="1977" xr:uid="{2EB6089C-43D4-401B-8413-0ECB8C29C60E}"/>
    <cellStyle name="Total 10 13 2" xfId="1978" xr:uid="{6D83CF22-0EEC-4A50-A17D-ED9CBF47BA75}"/>
    <cellStyle name="Total 10 14" xfId="1979" xr:uid="{BD1A0048-FA9E-4F50-AEDC-554D9E6B8062}"/>
    <cellStyle name="Total 10 14 2" xfId="1980" xr:uid="{0E3BB52B-ED77-49A0-8092-F741B93851A8}"/>
    <cellStyle name="Total 10 15" xfId="1981" xr:uid="{A1131058-4EEB-4E52-BD6C-62F7D006C207}"/>
    <cellStyle name="Total 10 15 2" xfId="1982" xr:uid="{6842BEAE-A16C-4A9D-AF05-7BF9CE94381E}"/>
    <cellStyle name="Total 10 16" xfId="1983" xr:uid="{E1F72771-2184-44EB-B82D-A919D4E8B67D}"/>
    <cellStyle name="Total 10 16 2" xfId="1984" xr:uid="{8681E3A7-4083-4FDD-9B67-A575C1C2451B}"/>
    <cellStyle name="Total 10 17" xfId="1985" xr:uid="{890A6745-1AE7-4B4E-BB4C-26CC26E3557C}"/>
    <cellStyle name="Total 10 17 2" xfId="1986" xr:uid="{A658F67C-DA43-43C2-BD2A-66A711EF4B71}"/>
    <cellStyle name="Total 10 18" xfId="1987" xr:uid="{EE6EB543-C2F8-4D0E-89F0-0272F90367B2}"/>
    <cellStyle name="Total 10 18 2" xfId="1988" xr:uid="{2E98FEC9-F9AC-4D2B-81DA-82BC71CCE937}"/>
    <cellStyle name="Total 10 19" xfId="1989" xr:uid="{8FD414B0-B312-4E5F-A732-F111763DB923}"/>
    <cellStyle name="Total 10 19 2" xfId="1990" xr:uid="{DCCFF6C1-149D-451E-AD85-69AD3C3A63DD}"/>
    <cellStyle name="Total 10 2" xfId="1991" xr:uid="{F53499CD-105B-4394-AE65-8AC929917A68}"/>
    <cellStyle name="Total 10 2 2" xfId="1992" xr:uid="{AA2E2403-C0A1-4523-8E78-640EA87B90C6}"/>
    <cellStyle name="Total 10 20" xfId="1993" xr:uid="{4B744299-2D37-46E8-9B66-06722088330A}"/>
    <cellStyle name="Total 10 20 2" xfId="1994" xr:uid="{20F575F6-67CF-4322-9427-F2D1D25166C5}"/>
    <cellStyle name="Total 10 21" xfId="1995" xr:uid="{A17217E7-1E46-45F9-9C70-2D62BD2F2A94}"/>
    <cellStyle name="Total 10 21 2" xfId="1996" xr:uid="{5F22C3A9-2543-429D-9A09-8ED875969658}"/>
    <cellStyle name="Total 10 22" xfId="1997" xr:uid="{3DC3AB33-8261-4F27-8165-4066F6265E49}"/>
    <cellStyle name="Total 10 22 2" xfId="1998" xr:uid="{D64DF94A-2256-4C02-8ACA-939CCA5653BF}"/>
    <cellStyle name="Total 10 23" xfId="1999" xr:uid="{C77792C4-F55F-4E8B-A8CC-A60F40862316}"/>
    <cellStyle name="Total 10 3" xfId="2000" xr:uid="{A8E1C9CF-F020-4D6F-9BDD-88F91D0714B8}"/>
    <cellStyle name="Total 10 3 2" xfId="2001" xr:uid="{737E6DBB-6998-42EF-BDD6-9BC00BDA98CC}"/>
    <cellStyle name="Total 10 4" xfId="2002" xr:uid="{42D850BD-C1AB-47A7-8706-FCBE75A599F5}"/>
    <cellStyle name="Total 10 4 2" xfId="2003" xr:uid="{D198F95B-BAF0-4395-9346-4F6A571C7F96}"/>
    <cellStyle name="Total 10 5" xfId="2004" xr:uid="{806D9698-FB34-435F-BB0C-B0177922A8F6}"/>
    <cellStyle name="Total 10 5 2" xfId="2005" xr:uid="{8ABEC030-C481-41B5-BD9A-BADD960CD2BA}"/>
    <cellStyle name="Total 10 6" xfId="2006" xr:uid="{4CD39E21-26BA-47EA-AFD7-2DBF0A2FC806}"/>
    <cellStyle name="Total 10 6 2" xfId="2007" xr:uid="{990EBE19-88CC-4A48-9400-8A81E3AFC8BF}"/>
    <cellStyle name="Total 10 7" xfId="2008" xr:uid="{5BD6498E-5385-4471-8E5C-6A5275660E4C}"/>
    <cellStyle name="Total 10 7 2" xfId="2009" xr:uid="{EDF6BCEB-5081-4C3D-819A-38EE3CBD4C6A}"/>
    <cellStyle name="Total 10 8" xfId="2010" xr:uid="{F26775CB-9B53-43D1-AD89-2ED627AD4C40}"/>
    <cellStyle name="Total 10 8 2" xfId="2011" xr:uid="{B3E3B060-5F3B-45A6-997E-7D1396A74518}"/>
    <cellStyle name="Total 10 9" xfId="2012" xr:uid="{5144954F-6555-46D4-AD80-B7F8F963E461}"/>
    <cellStyle name="Total 10 9 2" xfId="2013" xr:uid="{55A64DFA-272A-4F45-B600-0B2F0E2624EF}"/>
    <cellStyle name="Total 11" xfId="2014" xr:uid="{4EBADB06-34B0-437B-B11A-C1711BF1AFAF}"/>
    <cellStyle name="Total 11 10" xfId="2015" xr:uid="{04EB2CE9-C36C-4D7C-AD55-86EC3DEA5AAD}"/>
    <cellStyle name="Total 11 10 2" xfId="2016" xr:uid="{E1A83802-DA04-477A-A58B-D21785DF74B8}"/>
    <cellStyle name="Total 11 11" xfId="2017" xr:uid="{F86FCE1A-C4EE-4C05-880B-E8AF39FFBF2B}"/>
    <cellStyle name="Total 11 11 2" xfId="2018" xr:uid="{A49FDBC5-587C-4178-8B28-AE49034D3872}"/>
    <cellStyle name="Total 11 12" xfId="2019" xr:uid="{8895EBB3-73CA-40DA-B630-BFA58FC424C6}"/>
    <cellStyle name="Total 11 12 2" xfId="2020" xr:uid="{AC5E5894-057E-4C4F-871A-F0A449ECBDBA}"/>
    <cellStyle name="Total 11 13" xfId="2021" xr:uid="{242EABBB-4A2B-4090-A449-78A8355774CE}"/>
    <cellStyle name="Total 11 13 2" xfId="2022" xr:uid="{2E222F81-00A7-46FE-BE1F-CFB8F47CE603}"/>
    <cellStyle name="Total 11 14" xfId="2023" xr:uid="{F95FB75C-6E1D-4CB4-925E-3B6C630A0F02}"/>
    <cellStyle name="Total 11 14 2" xfId="2024" xr:uid="{E339822E-A7C6-48C4-BC6F-D0DD8D9B9135}"/>
    <cellStyle name="Total 11 15" xfId="2025" xr:uid="{D168B1D3-8CFA-434D-8801-8BF1093E767D}"/>
    <cellStyle name="Total 11 15 2" xfId="2026" xr:uid="{6DC3B47F-EA53-4AEE-9287-11C555415741}"/>
    <cellStyle name="Total 11 16" xfId="2027" xr:uid="{EE78D117-4A9D-4F13-9D2E-FBB3A51B0B9E}"/>
    <cellStyle name="Total 11 16 2" xfId="2028" xr:uid="{D83B16D3-421F-469D-88EA-23163274C25D}"/>
    <cellStyle name="Total 11 17" xfId="2029" xr:uid="{E548806D-CC0B-4021-AB55-13CBDD4AD9C9}"/>
    <cellStyle name="Total 11 17 2" xfId="2030" xr:uid="{8B96F13C-65F7-4985-9D75-D02CEC72E11C}"/>
    <cellStyle name="Total 11 18" xfId="2031" xr:uid="{F8E692F3-2A14-4C45-9DFC-074B5F6BF9FE}"/>
    <cellStyle name="Total 11 18 2" xfId="2032" xr:uid="{AC1EDF1D-BDE2-4E9B-9CA1-19BD817644C4}"/>
    <cellStyle name="Total 11 19" xfId="2033" xr:uid="{7EB6AF83-A72A-4537-83B4-9712C5E732FF}"/>
    <cellStyle name="Total 11 19 2" xfId="2034" xr:uid="{EAAEEA2E-3BC4-454D-90A8-632AEEA7B9B0}"/>
    <cellStyle name="Total 11 2" xfId="2035" xr:uid="{A7F6CFB6-1A62-42E8-9850-29104F6CF200}"/>
    <cellStyle name="Total 11 2 2" xfId="2036" xr:uid="{701F205C-1C6F-4F6C-AF6C-1BA6372FECED}"/>
    <cellStyle name="Total 11 20" xfId="2037" xr:uid="{A914708A-0425-453C-AF92-AA5903E637F8}"/>
    <cellStyle name="Total 11 20 2" xfId="2038" xr:uid="{A2DD06DF-EA1A-4FD2-85BF-AC6E76987143}"/>
    <cellStyle name="Total 11 21" xfId="2039" xr:uid="{49E3A716-3063-4702-B1AC-2481EB70B045}"/>
    <cellStyle name="Total 11 21 2" xfId="2040" xr:uid="{634F6E2B-B41F-4D4E-85AA-6B0F6C0A64F8}"/>
    <cellStyle name="Total 11 22" xfId="2041" xr:uid="{F5A9C6EA-BE50-4805-A5B3-4FFA942A68FA}"/>
    <cellStyle name="Total 11 3" xfId="2042" xr:uid="{8ECC1C68-D642-4071-8BCE-309154670910}"/>
    <cellStyle name="Total 11 3 2" xfId="2043" xr:uid="{DDDF0C52-8DD8-470C-8432-77EE810B001E}"/>
    <cellStyle name="Total 11 4" xfId="2044" xr:uid="{B676AAF8-987F-46B1-BF12-5A4F497FEB25}"/>
    <cellStyle name="Total 11 4 2" xfId="2045" xr:uid="{F5F423C1-DA62-48E8-8F93-5F1B005A6720}"/>
    <cellStyle name="Total 11 5" xfId="2046" xr:uid="{F4F950BA-1B69-4F1B-951A-FA10854072E4}"/>
    <cellStyle name="Total 11 5 2" xfId="2047" xr:uid="{EFB4FFF7-0277-4F6E-99C0-95A9951E4094}"/>
    <cellStyle name="Total 11 6" xfId="2048" xr:uid="{205750FF-0A22-4578-A077-B5EA428AF4AC}"/>
    <cellStyle name="Total 11 6 2" xfId="2049" xr:uid="{F4C9B55D-90C4-43DA-86ED-8076B30223AA}"/>
    <cellStyle name="Total 11 7" xfId="2050" xr:uid="{9D960E17-D3A6-462D-BBB3-B182C48B9C18}"/>
    <cellStyle name="Total 11 7 2" xfId="2051" xr:uid="{44B63146-3EF0-4C84-B69D-06BF2F88AE5E}"/>
    <cellStyle name="Total 11 8" xfId="2052" xr:uid="{7E2DAD05-6CC9-4129-9F6B-8185AEA8DC60}"/>
    <cellStyle name="Total 11 8 2" xfId="2053" xr:uid="{7E220EF3-F7F7-41BB-8323-A97E4F6074ED}"/>
    <cellStyle name="Total 11 9" xfId="2054" xr:uid="{E03F1C7D-9336-4447-AE92-C87997BD0B1A}"/>
    <cellStyle name="Total 11 9 2" xfId="2055" xr:uid="{3DBC6E37-F323-4B1E-91E4-E6F3261F2F4E}"/>
    <cellStyle name="Total 12" xfId="2056" xr:uid="{75501386-BA33-44D5-93E8-03874BE16348}"/>
    <cellStyle name="Total 12 2" xfId="2057" xr:uid="{34D2B76D-6796-4B54-B48D-35B6915381D7}"/>
    <cellStyle name="Total 13" xfId="2058" xr:uid="{B549A55D-ABD6-41A4-931B-FB7F7FFD7338}"/>
    <cellStyle name="Total 13 2" xfId="2059" xr:uid="{389E1627-FCE9-4B3E-AC0B-CA1C0D7465A1}"/>
    <cellStyle name="Total 14" xfId="2060" xr:uid="{4ED80CDD-EDED-44E4-8B31-E4C6D9B17DC0}"/>
    <cellStyle name="Total 14 2" xfId="2061" xr:uid="{F8E75E67-FD1C-4439-8122-DEB3C9DDBCA5}"/>
    <cellStyle name="Total 15" xfId="2062" xr:uid="{7AD7EA21-04BF-432E-98EA-BC7E254460DF}"/>
    <cellStyle name="Total 15 2" xfId="2063" xr:uid="{7FA90986-8F6B-4478-9863-7AA70F7F22C8}"/>
    <cellStyle name="Total 16" xfId="2064" xr:uid="{F31CA6C9-9125-49E8-9088-C53308651AE1}"/>
    <cellStyle name="Total 16 2" xfId="2065" xr:uid="{AB2BCC75-DC85-4C09-B698-F4EDF26E7E2A}"/>
    <cellStyle name="Total 17" xfId="2066" xr:uid="{4AA2F5E0-3689-4247-8486-791084310664}"/>
    <cellStyle name="Total 17 2" xfId="2067" xr:uid="{12206A86-9A79-4B38-BD24-E3618884C6C0}"/>
    <cellStyle name="Total 18" xfId="2068" xr:uid="{96BBDE44-C036-45C3-BB1A-9992FB30EC9B}"/>
    <cellStyle name="Total 18 2" xfId="2069" xr:uid="{A0ABC7D4-3B6E-45EF-88CF-50AE5B5A90A0}"/>
    <cellStyle name="Total 19" xfId="2070" xr:uid="{1DD91406-960D-4103-B334-6B506D968AB7}"/>
    <cellStyle name="Total 19 2" xfId="2071" xr:uid="{7BA0FA7A-77BA-4BAB-A4DE-FC918E4A6A30}"/>
    <cellStyle name="Total 2" xfId="2072" xr:uid="{4511D488-D1EA-448C-98C1-B61BAA5BF5A2}"/>
    <cellStyle name="Total 2 10" xfId="2073" xr:uid="{05B2314F-C2CE-4598-9280-78D9841AC43E}"/>
    <cellStyle name="Total 2 10 2" xfId="2074" xr:uid="{9714DEB7-EFEC-4C22-BF5E-40F5AA245068}"/>
    <cellStyle name="Total 2 11" xfId="2075" xr:uid="{F5DC522B-07D6-4240-A9EE-2B097DFF75AC}"/>
    <cellStyle name="Total 2 11 2" xfId="2076" xr:uid="{906A775A-9DC0-4A95-A556-4A54471C1907}"/>
    <cellStyle name="Total 2 12" xfId="2077" xr:uid="{479ED361-1A95-41A7-AC37-37572790B22C}"/>
    <cellStyle name="Total 2 12 2" xfId="2078" xr:uid="{421C472E-15A1-48E8-B225-4FD60A23BD4A}"/>
    <cellStyle name="Total 2 13" xfId="2079" xr:uid="{91DA4B1F-2323-48D4-B7BE-D1C11F8607D8}"/>
    <cellStyle name="Total 2 13 2" xfId="2080" xr:uid="{7E304D83-FD36-448D-BBA2-D7E64A8957B0}"/>
    <cellStyle name="Total 2 14" xfId="2081" xr:uid="{F55A6804-54ED-4FFE-8147-7829D5428DFB}"/>
    <cellStyle name="Total 2 14 2" xfId="2082" xr:uid="{714A4138-6F43-45F9-BFB7-3471111DD37A}"/>
    <cellStyle name="Total 2 15" xfId="2083" xr:uid="{F78B6F1D-B5A0-4B46-8164-B3F4D79BEFDB}"/>
    <cellStyle name="Total 2 15 2" xfId="2084" xr:uid="{25C9C895-42D8-4625-A408-DF6026E99807}"/>
    <cellStyle name="Total 2 16" xfId="2085" xr:uid="{A09EB3AC-35B8-4576-B716-FA7636392D53}"/>
    <cellStyle name="Total 2 16 2" xfId="2086" xr:uid="{6D5A6D44-5880-45F4-A0C3-159C5291B5AD}"/>
    <cellStyle name="Total 2 17" xfId="2087" xr:uid="{29056CF6-CBB7-4327-8BF4-1517C61C7726}"/>
    <cellStyle name="Total 2 17 2" xfId="2088" xr:uid="{DB30C394-5ACE-42F3-8BB6-6938C8FB9250}"/>
    <cellStyle name="Total 2 18" xfId="2089" xr:uid="{B968C12C-1395-4F6C-BA5F-155543345027}"/>
    <cellStyle name="Total 2 18 2" xfId="2090" xr:uid="{5674B7D9-D8C2-4BEF-9BA4-40D7D57058B4}"/>
    <cellStyle name="Total 2 19" xfId="2091" xr:uid="{5C831BA4-658D-43D3-8D1D-02C9B0EAAAE5}"/>
    <cellStyle name="Total 2 19 2" xfId="2092" xr:uid="{D49BB696-DD88-49A6-A53B-20DCCB282507}"/>
    <cellStyle name="Total 2 2" xfId="2093" xr:uid="{E453C09B-0860-47D7-97BE-1C8E523B7AEE}"/>
    <cellStyle name="Total 2 2 2" xfId="2094" xr:uid="{0BD71043-37F6-41D4-B385-9B07D019408D}"/>
    <cellStyle name="Total 2 20" xfId="2095" xr:uid="{74B861B1-38B4-4E1F-8754-0A45D8BA46DE}"/>
    <cellStyle name="Total 2 20 2" xfId="2096" xr:uid="{CE7D55FB-C49D-492C-8C5E-4763470F5E79}"/>
    <cellStyle name="Total 2 21" xfId="2097" xr:uid="{E4135463-B0B4-4148-9434-9D6B988580C5}"/>
    <cellStyle name="Total 2 21 2" xfId="2098" xr:uid="{8095E2C7-CC24-48DD-927C-2FA44256AC14}"/>
    <cellStyle name="Total 2 22" xfId="2099" xr:uid="{9251DAFF-744B-4C52-B2DA-A58EF2A29D18}"/>
    <cellStyle name="Total 2 22 2" xfId="2100" xr:uid="{3977BAEF-6EA4-47F4-92D2-90C9DEC93B08}"/>
    <cellStyle name="Total 2 23" xfId="2101" xr:uid="{B042D61F-63A4-4F6A-AD42-12337C0EBC67}"/>
    <cellStyle name="Total 2 3" xfId="2102" xr:uid="{E6CE3A30-B6B1-462D-975C-3716F018DBFF}"/>
    <cellStyle name="Total 2 3 2" xfId="2103" xr:uid="{04A96276-24E7-4C47-88D6-75F2B16F4DA6}"/>
    <cellStyle name="Total 2 4" xfId="2104" xr:uid="{D34E2095-8DB4-4D4D-82FD-058F7ACB77DB}"/>
    <cellStyle name="Total 2 4 2" xfId="2105" xr:uid="{5602C1C9-31CA-426A-8712-DB4948883F25}"/>
    <cellStyle name="Total 2 5" xfId="2106" xr:uid="{D0574010-6901-4581-BB3A-150CFD3B758C}"/>
    <cellStyle name="Total 2 5 2" xfId="2107" xr:uid="{63051AA2-2E83-46A6-A153-36B5E90BFCC7}"/>
    <cellStyle name="Total 2 6" xfId="2108" xr:uid="{3D0BE2C5-C34E-4766-B96A-134EABF3B529}"/>
    <cellStyle name="Total 2 6 2" xfId="2109" xr:uid="{263B6DB0-28B5-4289-BC1C-7B112D057CA4}"/>
    <cellStyle name="Total 2 7" xfId="2110" xr:uid="{B8277251-F7E0-4E8E-A150-3E7798477312}"/>
    <cellStyle name="Total 2 7 2" xfId="2111" xr:uid="{9ED39B74-E9F5-4B82-AC68-5B2DDA26A22D}"/>
    <cellStyle name="Total 2 8" xfId="2112" xr:uid="{92D621AA-ABB1-41AC-8BCB-A6883EE6B16A}"/>
    <cellStyle name="Total 2 8 2" xfId="2113" xr:uid="{C004002E-9C18-4A56-9AE2-57AE4807DBFA}"/>
    <cellStyle name="Total 2 9" xfId="2114" xr:uid="{1C47DC9F-B284-413D-9CCC-3B8D776B0A24}"/>
    <cellStyle name="Total 2 9 2" xfId="2115" xr:uid="{1E09F14B-2F38-4815-9C50-38CA95105201}"/>
    <cellStyle name="Total 20" xfId="2116" xr:uid="{E95EDB68-D51D-4C92-A6B9-54DA8B58B78B}"/>
    <cellStyle name="Total 20 2" xfId="2117" xr:uid="{03E53B84-6852-4837-89C1-F260DA7DA576}"/>
    <cellStyle name="Total 21" xfId="2118" xr:uid="{3DFC43AE-D72F-4E95-AE3F-B76FC3D3FAA8}"/>
    <cellStyle name="Total 21 2" xfId="2119" xr:uid="{86EAB40C-B864-467B-A287-4E1645EC50EE}"/>
    <cellStyle name="Total 22" xfId="2120" xr:uid="{7332C625-3C7A-4947-B863-25C45535FD66}"/>
    <cellStyle name="Total 22 2" xfId="2121" xr:uid="{F7D60324-57DB-4FB1-B143-5CA4AEBCF030}"/>
    <cellStyle name="Total 23" xfId="2122" xr:uid="{2236A4CA-5D8F-409A-B625-0C3ABC9A6047}"/>
    <cellStyle name="Total 23 2" xfId="2123" xr:uid="{93CC4555-70A0-4B35-A5D1-4260A58B62AA}"/>
    <cellStyle name="Total 24" xfId="2124" xr:uid="{4A5EF3B3-6477-4CA6-A311-BBC136E48BC5}"/>
    <cellStyle name="Total 24 2" xfId="2125" xr:uid="{7DA124E8-AF51-4D8F-BFD4-A4B675BF6778}"/>
    <cellStyle name="Total 25" xfId="2126" xr:uid="{7CBA79EB-13DF-4795-8D6E-E62E0B9104BB}"/>
    <cellStyle name="Total 25 2" xfId="2127" xr:uid="{D118BDEF-E4E7-475F-8D5B-23C323654CF8}"/>
    <cellStyle name="Total 26" xfId="2128" xr:uid="{3F1CB2F8-D302-4ACB-A916-FC0E10E7F0A0}"/>
    <cellStyle name="Total 26 2" xfId="2129" xr:uid="{0373B7D4-81BE-41CA-A9ED-CB4226082675}"/>
    <cellStyle name="Total 27" xfId="2130" xr:uid="{0793FEEF-08EE-44B6-A9C8-E3632C23B66C}"/>
    <cellStyle name="Total 27 2" xfId="2131" xr:uid="{861945C0-F6B0-4ADC-B09F-3842CC3B72A0}"/>
    <cellStyle name="Total 28" xfId="2132" xr:uid="{74BDCF0B-EC85-4AB9-BCD2-6C56187A2180}"/>
    <cellStyle name="Total 28 2" xfId="2133" xr:uid="{F0A9D055-2C9A-4E32-9595-583C2558ACB8}"/>
    <cellStyle name="Total 29" xfId="2134" xr:uid="{10C2884E-3AB0-4C49-93EE-780EFDB4DCE0}"/>
    <cellStyle name="Total 29 2" xfId="2135" xr:uid="{1330455B-CBAF-40DF-9EE7-AEC7804F8E67}"/>
    <cellStyle name="Total 3" xfId="2136" xr:uid="{8D4E5BF2-50A9-44FE-8B67-3A75D9BBB368}"/>
    <cellStyle name="Total 3 10" xfId="2137" xr:uid="{DCE58796-63CA-46A5-9D78-61CBAD4A32A7}"/>
    <cellStyle name="Total 3 10 2" xfId="2138" xr:uid="{26167224-7C98-406B-BAAA-835EC742188F}"/>
    <cellStyle name="Total 3 11" xfId="2139" xr:uid="{F023C172-D739-4BF2-B4FB-B412A8EFB5B8}"/>
    <cellStyle name="Total 3 11 2" xfId="2140" xr:uid="{D48F5BB0-83E3-4B69-8520-129B0FE5952F}"/>
    <cellStyle name="Total 3 12" xfId="2141" xr:uid="{06486159-8D6F-49D0-A9EF-E627949CE827}"/>
    <cellStyle name="Total 3 12 2" xfId="2142" xr:uid="{93B55FA6-7584-49DD-BE6F-1CCB2F683E3E}"/>
    <cellStyle name="Total 3 13" xfId="2143" xr:uid="{25A8CC63-B561-4CC8-933C-72B77A37C380}"/>
    <cellStyle name="Total 3 13 2" xfId="2144" xr:uid="{A665FA7E-B969-4576-BFE2-0A170BFE227E}"/>
    <cellStyle name="Total 3 14" xfId="2145" xr:uid="{E2CCF3B3-3A3B-4017-A025-33C5A1442FBF}"/>
    <cellStyle name="Total 3 14 2" xfId="2146" xr:uid="{8FE21A43-7738-4438-AD2E-3AC2C81FB524}"/>
    <cellStyle name="Total 3 15" xfId="2147" xr:uid="{7859E0BA-F507-47C9-80DE-5B0AD1ED7FE3}"/>
    <cellStyle name="Total 3 15 2" xfId="2148" xr:uid="{64C04A0F-D778-4FA4-A48A-26DEB6D37948}"/>
    <cellStyle name="Total 3 16" xfId="2149" xr:uid="{4439EAE5-FEE6-4A71-A227-1CCF4D44791E}"/>
    <cellStyle name="Total 3 16 2" xfId="2150" xr:uid="{2B2F8CE1-8CD5-49F1-9483-D06AB599BC3A}"/>
    <cellStyle name="Total 3 17" xfId="2151" xr:uid="{B57EF73D-E752-45B1-BF0C-3D4FAEE3CB81}"/>
    <cellStyle name="Total 3 17 2" xfId="2152" xr:uid="{36DB22B8-3B70-4604-97BB-B473AEA86EC5}"/>
    <cellStyle name="Total 3 18" xfId="2153" xr:uid="{7ED86150-FF77-49A4-9CFD-95AAAA872E55}"/>
    <cellStyle name="Total 3 18 2" xfId="2154" xr:uid="{8C148C5C-1D42-4BE5-9DBD-0927673DE41F}"/>
    <cellStyle name="Total 3 19" xfId="2155" xr:uid="{2B065BEF-1F18-477C-A471-C3BA79E86409}"/>
    <cellStyle name="Total 3 19 2" xfId="2156" xr:uid="{69B5504A-62C5-4FE4-BA85-0EF6F624BE66}"/>
    <cellStyle name="Total 3 2" xfId="2157" xr:uid="{A7755979-2F38-4C54-A8E6-905FFC3D9B0B}"/>
    <cellStyle name="Total 3 2 2" xfId="2158" xr:uid="{37D1C547-0D08-4148-8D4A-ACC15CB37893}"/>
    <cellStyle name="Total 3 20" xfId="2159" xr:uid="{BC866F62-014A-43EF-98CE-9368C6A6A3CB}"/>
    <cellStyle name="Total 3 20 2" xfId="2160" xr:uid="{837A45A1-2A3E-4E60-8B8F-8F306B2E4DDB}"/>
    <cellStyle name="Total 3 21" xfId="2161" xr:uid="{30845B08-C9BE-4824-B5FA-12E6EACF274D}"/>
    <cellStyle name="Total 3 21 2" xfId="2162" xr:uid="{2CEBA43F-45D2-43D9-BDC1-164CBE4C89FE}"/>
    <cellStyle name="Total 3 22" xfId="2163" xr:uid="{323CD3D8-CA77-4BE6-B42A-DFA1D7F30E33}"/>
    <cellStyle name="Total 3 22 2" xfId="2164" xr:uid="{59A161D5-7A8C-4701-AF6D-F4DFC465DF8C}"/>
    <cellStyle name="Total 3 23" xfId="2165" xr:uid="{A7C24D20-7368-4E22-BC39-E1FE80A8B309}"/>
    <cellStyle name="Total 3 3" xfId="2166" xr:uid="{DB58BBAD-A952-44B9-A884-F781F0A0BB0D}"/>
    <cellStyle name="Total 3 3 2" xfId="2167" xr:uid="{93B3CF6E-9B54-441C-8221-321110344BC1}"/>
    <cellStyle name="Total 3 4" xfId="2168" xr:uid="{C86687F9-13D3-461A-A066-9B90F47C561E}"/>
    <cellStyle name="Total 3 4 2" xfId="2169" xr:uid="{76C56B34-42F6-49E0-801C-F5740226BE8B}"/>
    <cellStyle name="Total 3 5" xfId="2170" xr:uid="{3688DD4B-7204-48EC-B515-2BC9712F13D6}"/>
    <cellStyle name="Total 3 5 2" xfId="2171" xr:uid="{FD14CD27-4641-4377-BAC6-394864628B22}"/>
    <cellStyle name="Total 3 6" xfId="2172" xr:uid="{5DD9B3C3-0246-423F-A140-301D73D6C607}"/>
    <cellStyle name="Total 3 6 2" xfId="2173" xr:uid="{5AFE6036-502F-4011-857F-692E353351A7}"/>
    <cellStyle name="Total 3 7" xfId="2174" xr:uid="{65904ABF-ADC2-401F-BEFD-A2EDBCB0A4E0}"/>
    <cellStyle name="Total 3 7 2" xfId="2175" xr:uid="{F8BA75F6-F036-46CC-94BE-DB1B99E5C9BB}"/>
    <cellStyle name="Total 3 8" xfId="2176" xr:uid="{B04F2605-596A-449B-B444-E39B96354DD8}"/>
    <cellStyle name="Total 3 8 2" xfId="2177" xr:uid="{AA51F48F-D9C1-4285-8A7C-707209104CA6}"/>
    <cellStyle name="Total 3 9" xfId="2178" xr:uid="{2DD2B3DE-6FCE-4B70-8294-9D59A76C9F3A}"/>
    <cellStyle name="Total 3 9 2" xfId="2179" xr:uid="{1596508C-663C-4DCF-97D1-6DFEA684BA3F}"/>
    <cellStyle name="Total 30" xfId="2180" xr:uid="{9FCC5887-6871-4D85-87B7-C6118B6310D5}"/>
    <cellStyle name="Total 30 2" xfId="2181" xr:uid="{10D47B2B-FC99-41E7-A5B3-B7CF2949BF86}"/>
    <cellStyle name="Total 31" xfId="2182" xr:uid="{6239EFE9-5D0D-4048-B1D8-6475AA918AB9}"/>
    <cellStyle name="Total 31 2" xfId="2183" xr:uid="{83CF6818-E901-44E5-A905-BD506DAE385C}"/>
    <cellStyle name="Total 32" xfId="2184" xr:uid="{7C717FF1-CB73-4806-AF78-D9A1EF7BF766}"/>
    <cellStyle name="Total 32 2" xfId="2185" xr:uid="{3AA4AD26-C523-4D0E-8408-02F50612C3D1}"/>
    <cellStyle name="Total 33" xfId="2186" xr:uid="{37D950FC-1C95-44A6-9C99-63EF2F6F2649}"/>
    <cellStyle name="Total 34" xfId="2187" xr:uid="{0AF91A41-F98D-4ECB-8699-8202D2393975}"/>
    <cellStyle name="Total 4" xfId="2188" xr:uid="{5E0054B6-4012-4839-A909-F96492E97142}"/>
    <cellStyle name="Total 4 10" xfId="2189" xr:uid="{5FD2502E-F712-4E54-896C-72545B6F9725}"/>
    <cellStyle name="Total 4 10 2" xfId="2190" xr:uid="{18313974-1832-411E-8E82-F1E5D67797B3}"/>
    <cellStyle name="Total 4 11" xfId="2191" xr:uid="{E0EA9EF0-9ABA-41F4-B9FE-7D937EF35313}"/>
    <cellStyle name="Total 4 11 2" xfId="2192" xr:uid="{64849179-D2E9-427D-9EF8-7C909ACEA0DD}"/>
    <cellStyle name="Total 4 12" xfId="2193" xr:uid="{B9953EFF-447D-4010-9148-CC900FC53D58}"/>
    <cellStyle name="Total 4 12 2" xfId="2194" xr:uid="{E2D0B100-346E-4704-8ABF-08F5F66C28F3}"/>
    <cellStyle name="Total 4 13" xfId="2195" xr:uid="{983B1BD2-2584-4E92-B59A-9906D6DAC9C4}"/>
    <cellStyle name="Total 4 13 2" xfId="2196" xr:uid="{E4995D72-1726-49E9-8275-9E1E9EEFDDA0}"/>
    <cellStyle name="Total 4 14" xfId="2197" xr:uid="{93F0A949-D419-4E55-AB39-7423618622D8}"/>
    <cellStyle name="Total 4 14 2" xfId="2198" xr:uid="{D2CF876C-656B-464B-974C-78D9BE135976}"/>
    <cellStyle name="Total 4 15" xfId="2199" xr:uid="{638A7591-84DE-42E1-8C1A-DCF4570E8121}"/>
    <cellStyle name="Total 4 15 2" xfId="2200" xr:uid="{0F95654F-C042-4C18-969D-7F3BC61B2E4C}"/>
    <cellStyle name="Total 4 16" xfId="2201" xr:uid="{97A4F7DB-4DA9-48E4-B27F-4A87B8507B2F}"/>
    <cellStyle name="Total 4 16 2" xfId="2202" xr:uid="{EEDBA086-5787-4DC5-B57D-EA6F37C4DAEC}"/>
    <cellStyle name="Total 4 17" xfId="2203" xr:uid="{91B1CE2F-1AD3-411A-8D1D-00793C773549}"/>
    <cellStyle name="Total 4 17 2" xfId="2204" xr:uid="{049E07DF-8D54-461B-9A8E-D0F8C384D99F}"/>
    <cellStyle name="Total 4 18" xfId="2205" xr:uid="{A2F514AF-195E-4854-986B-7642BBAA58B0}"/>
    <cellStyle name="Total 4 18 2" xfId="2206" xr:uid="{68828F1E-01AA-494E-A944-C6AFB02DC3AC}"/>
    <cellStyle name="Total 4 19" xfId="2207" xr:uid="{01AD6E80-80BA-4FF8-BE19-6D431AF1B84F}"/>
    <cellStyle name="Total 4 19 2" xfId="2208" xr:uid="{313D0E7A-E1F4-4659-B5E0-058423E481DD}"/>
    <cellStyle name="Total 4 2" xfId="2209" xr:uid="{887C28B5-E2E0-4A60-BF7C-9C292992C107}"/>
    <cellStyle name="Total 4 2 2" xfId="2210" xr:uid="{0D6698E1-9896-4F9E-AC0B-7676B1E8A6E1}"/>
    <cellStyle name="Total 4 20" xfId="2211" xr:uid="{28176585-46AD-4686-8B8B-9A638260B557}"/>
    <cellStyle name="Total 4 20 2" xfId="2212" xr:uid="{EAFE2D16-237D-435C-98E7-6CEA4A4F2CF4}"/>
    <cellStyle name="Total 4 21" xfId="2213" xr:uid="{B523739E-B0FA-4ABC-9091-6A46D5CE7A28}"/>
    <cellStyle name="Total 4 21 2" xfId="2214" xr:uid="{13EBDFCF-9504-4EB3-AAB4-9762193C4A36}"/>
    <cellStyle name="Total 4 22" xfId="2215" xr:uid="{26F1C258-8C7F-4468-AA4B-15AF63DF4994}"/>
    <cellStyle name="Total 4 22 2" xfId="2216" xr:uid="{D6F7D675-3021-442A-960B-E60BCB5F7218}"/>
    <cellStyle name="Total 4 23" xfId="2217" xr:uid="{65015F51-F02F-49A6-A89D-863A26C36641}"/>
    <cellStyle name="Total 4 3" xfId="2218" xr:uid="{DA40D4AF-9C77-4BE3-B9A9-792923106FF4}"/>
    <cellStyle name="Total 4 3 2" xfId="2219" xr:uid="{59CAAAB8-68F8-42C6-BD3D-F6D24A265264}"/>
    <cellStyle name="Total 4 4" xfId="2220" xr:uid="{77BA10A5-A5D7-4E4A-A873-089B67418D2A}"/>
    <cellStyle name="Total 4 4 2" xfId="2221" xr:uid="{650BCFFD-834E-4C63-8751-406E70789A96}"/>
    <cellStyle name="Total 4 5" xfId="2222" xr:uid="{7FA440C4-D0A7-4B9E-B14F-0002AF40CD35}"/>
    <cellStyle name="Total 4 5 2" xfId="2223" xr:uid="{BEC2304E-B2D6-419F-A337-8142658E6D40}"/>
    <cellStyle name="Total 4 6" xfId="2224" xr:uid="{6285E29E-65B9-487F-8985-D26C9AC0140B}"/>
    <cellStyle name="Total 4 6 2" xfId="2225" xr:uid="{0A094850-BE76-4542-98C0-EAAAC31A0374}"/>
    <cellStyle name="Total 4 7" xfId="2226" xr:uid="{89E7C963-B88E-4CCB-BBBC-9C9B0F7B2DC6}"/>
    <cellStyle name="Total 4 7 2" xfId="2227" xr:uid="{C0D66963-E85F-4CA8-96D5-9EF6C3ABC632}"/>
    <cellStyle name="Total 4 8" xfId="2228" xr:uid="{E468C696-FEC1-48CE-9173-A512A3BBE329}"/>
    <cellStyle name="Total 4 8 2" xfId="2229" xr:uid="{32E3C5A1-1FC9-46F1-9DDC-139631A01305}"/>
    <cellStyle name="Total 4 9" xfId="2230" xr:uid="{E2CD6756-B449-4A29-9896-168D51222A61}"/>
    <cellStyle name="Total 4 9 2" xfId="2231" xr:uid="{583B53E5-0C4A-4B29-A6BC-E196E226A438}"/>
    <cellStyle name="Total 5" xfId="2232" xr:uid="{3E3B0D3F-90AF-4AFF-A9C1-EAE40ABE8275}"/>
    <cellStyle name="Total 5 10" xfId="2233" xr:uid="{98045B4E-E6FE-4B4F-A9A4-F49FAA62120A}"/>
    <cellStyle name="Total 5 10 2" xfId="2234" xr:uid="{EC9F7954-82A1-4B6B-A014-2BBA1241FFD0}"/>
    <cellStyle name="Total 5 11" xfId="2235" xr:uid="{0A19A48D-4715-40CE-B834-2743C6CE8EEF}"/>
    <cellStyle name="Total 5 11 2" xfId="2236" xr:uid="{A3C035ED-FB90-40A4-BFA1-09437AA4BDC8}"/>
    <cellStyle name="Total 5 12" xfId="2237" xr:uid="{EF47E86D-A707-4525-B3C4-9CB3895424D5}"/>
    <cellStyle name="Total 5 12 2" xfId="2238" xr:uid="{F9DAB32F-017A-48E4-BE7C-D6C506C2A59D}"/>
    <cellStyle name="Total 5 13" xfId="2239" xr:uid="{EFA473E2-9AE6-4248-B7C1-2ACBA2EF9AAF}"/>
    <cellStyle name="Total 5 13 2" xfId="2240" xr:uid="{1814DF05-7EB8-4AC8-A679-260CA6452C03}"/>
    <cellStyle name="Total 5 14" xfId="2241" xr:uid="{82646BC5-C9D0-45FA-9905-FEEEC978DFC0}"/>
    <cellStyle name="Total 5 14 2" xfId="2242" xr:uid="{CA3A87FE-726F-4D2C-B78D-DBB8CAFEF2C9}"/>
    <cellStyle name="Total 5 15" xfId="2243" xr:uid="{7A177B63-D9C5-490A-BCC1-2DACA1AF9180}"/>
    <cellStyle name="Total 5 15 2" xfId="2244" xr:uid="{CEFD2974-84ED-47D2-9DF7-A3670BEA8F40}"/>
    <cellStyle name="Total 5 16" xfId="2245" xr:uid="{2AB7AD34-59F3-40C3-9E09-44B4FE72969B}"/>
    <cellStyle name="Total 5 16 2" xfId="2246" xr:uid="{3BD1DB97-FBE5-4712-9F12-6714D592CA44}"/>
    <cellStyle name="Total 5 17" xfId="2247" xr:uid="{9EC60C28-FDFA-4019-8EC1-E0B818AEA0C5}"/>
    <cellStyle name="Total 5 17 2" xfId="2248" xr:uid="{AF85EF27-1F11-40D3-8098-1B6E0FBE0F76}"/>
    <cellStyle name="Total 5 18" xfId="2249" xr:uid="{9EB23858-82CF-46D3-8A23-470196BFA0E9}"/>
    <cellStyle name="Total 5 18 2" xfId="2250" xr:uid="{EA1C0203-4CA4-4856-8377-F083546F5597}"/>
    <cellStyle name="Total 5 19" xfId="2251" xr:uid="{C5831A1A-1693-472B-90AC-ADB2E3C201E6}"/>
    <cellStyle name="Total 5 19 2" xfId="2252" xr:uid="{7A3DBD92-8489-4CA2-97B3-FBE8D8811864}"/>
    <cellStyle name="Total 5 2" xfId="2253" xr:uid="{76661E6F-80CE-4751-9486-CE05369B6C5E}"/>
    <cellStyle name="Total 5 2 2" xfId="2254" xr:uid="{764A8A0C-9EEC-4A12-8350-713BCC39AFD8}"/>
    <cellStyle name="Total 5 20" xfId="2255" xr:uid="{E223831F-33A5-4297-B840-4862F3CA177A}"/>
    <cellStyle name="Total 5 20 2" xfId="2256" xr:uid="{F9F10B4F-8EB9-4BF6-B7A7-290B62DE7FD2}"/>
    <cellStyle name="Total 5 21" xfId="2257" xr:uid="{F14F8476-21FA-4F7F-A7A3-F539E26F70C7}"/>
    <cellStyle name="Total 5 21 2" xfId="2258" xr:uid="{5F43DB4F-FFEA-47BD-B639-B949B9B21A29}"/>
    <cellStyle name="Total 5 22" xfId="2259" xr:uid="{BACBCDC7-EFCC-4D51-88F7-C68A3FA80BD0}"/>
    <cellStyle name="Total 5 22 2" xfId="2260" xr:uid="{9D0F0A30-DB27-4F40-8E49-5C2AD7F6618B}"/>
    <cellStyle name="Total 5 23" xfId="2261" xr:uid="{E696D761-094A-4FF6-9946-D56FB8B60723}"/>
    <cellStyle name="Total 5 3" xfId="2262" xr:uid="{AACA1576-6DD3-4B4F-9A8C-169A085B7444}"/>
    <cellStyle name="Total 5 3 2" xfId="2263" xr:uid="{79191293-85C9-46F6-B0F0-738055C58866}"/>
    <cellStyle name="Total 5 4" xfId="2264" xr:uid="{58636799-FB3D-48AF-8306-CB7146E24523}"/>
    <cellStyle name="Total 5 4 2" xfId="2265" xr:uid="{C8EBA4A8-53A9-487C-99A0-F56595EA2761}"/>
    <cellStyle name="Total 5 5" xfId="2266" xr:uid="{0429058A-50F3-4125-98A1-508879DD3772}"/>
    <cellStyle name="Total 5 5 2" xfId="2267" xr:uid="{DD687B89-F910-4F53-9414-6E3BDFBA1EFF}"/>
    <cellStyle name="Total 5 6" xfId="2268" xr:uid="{216737DF-E3A2-4FF1-B9D2-E9467C60F0D1}"/>
    <cellStyle name="Total 5 6 2" xfId="2269" xr:uid="{0150A686-154D-4FBD-9D37-02DF50C51408}"/>
    <cellStyle name="Total 5 7" xfId="2270" xr:uid="{ED3C5AD8-543C-448A-A27E-89509937709D}"/>
    <cellStyle name="Total 5 7 2" xfId="2271" xr:uid="{A61382D7-11A7-4834-B30B-1F9B63ABDA2E}"/>
    <cellStyle name="Total 5 8" xfId="2272" xr:uid="{92B6DE34-AC06-4F37-8570-39ACE265C1DA}"/>
    <cellStyle name="Total 5 8 2" xfId="2273" xr:uid="{081A09D0-593D-4AF0-A79A-8B22F70721D3}"/>
    <cellStyle name="Total 5 9" xfId="2274" xr:uid="{2BBA6F78-FCDB-400B-8613-DAD60E5178E4}"/>
    <cellStyle name="Total 5 9 2" xfId="2275" xr:uid="{D05627A3-3BAE-4018-8A1F-91A50C7495B3}"/>
    <cellStyle name="Total 6" xfId="2276" xr:uid="{F77BFC92-3E5B-41F1-B018-0E567E7FFD37}"/>
    <cellStyle name="Total 6 10" xfId="2277" xr:uid="{83C250DC-3241-41D1-BDDB-99FF322A0495}"/>
    <cellStyle name="Total 6 10 2" xfId="2278" xr:uid="{7B80AD42-7A2B-483B-BABB-A0D6236C2373}"/>
    <cellStyle name="Total 6 11" xfId="2279" xr:uid="{F9AE73CD-F4F6-40C5-A5F5-0AC5BF7957CB}"/>
    <cellStyle name="Total 6 11 2" xfId="2280" xr:uid="{2A58E8C8-7A49-4D59-95D5-82FB670D634C}"/>
    <cellStyle name="Total 6 12" xfId="2281" xr:uid="{CE192511-65F0-43B8-BA2C-DC5F358BCCAD}"/>
    <cellStyle name="Total 6 12 2" xfId="2282" xr:uid="{DADEACF2-8552-45C4-9184-7A42DCBEA7CD}"/>
    <cellStyle name="Total 6 13" xfId="2283" xr:uid="{92871C4F-0FDC-405D-9760-278CC89B65CF}"/>
    <cellStyle name="Total 6 13 2" xfId="2284" xr:uid="{94ADD611-F9A2-43A6-A47B-1A333121F179}"/>
    <cellStyle name="Total 6 14" xfId="2285" xr:uid="{0190978E-0232-4984-B1F1-7710212294D8}"/>
    <cellStyle name="Total 6 14 2" xfId="2286" xr:uid="{7021C59F-CE63-4949-AF84-46EEE3929B49}"/>
    <cellStyle name="Total 6 15" xfId="2287" xr:uid="{C501756C-EBFD-4FF0-A36E-D47498A96758}"/>
    <cellStyle name="Total 6 15 2" xfId="2288" xr:uid="{0815E8AA-2CBA-4CAA-B55F-BC8E81F88EBE}"/>
    <cellStyle name="Total 6 16" xfId="2289" xr:uid="{EC4A655D-64E7-4F5B-87CA-FA5631AD8D2D}"/>
    <cellStyle name="Total 6 16 2" xfId="2290" xr:uid="{1A562844-26A5-493A-A512-CB7B678ED150}"/>
    <cellStyle name="Total 6 17" xfId="2291" xr:uid="{3C15D90F-D2D8-486D-A6F8-80E846F35943}"/>
    <cellStyle name="Total 6 17 2" xfId="2292" xr:uid="{EE430BF3-955A-4302-8380-081920DBE55C}"/>
    <cellStyle name="Total 6 18" xfId="2293" xr:uid="{3B1ED4A3-5DB5-4A95-8D5B-CA1A83281384}"/>
    <cellStyle name="Total 6 18 2" xfId="2294" xr:uid="{206742A5-069B-4D15-A51D-151B2D4EEFC2}"/>
    <cellStyle name="Total 6 19" xfId="2295" xr:uid="{92F60F1E-165D-4702-9640-6B111ABF5FE8}"/>
    <cellStyle name="Total 6 19 2" xfId="2296" xr:uid="{CA617BCA-A8E8-40B7-B39D-8389CC21C7D9}"/>
    <cellStyle name="Total 6 2" xfId="2297" xr:uid="{F5F56B3D-BF66-462E-9937-40864703D486}"/>
    <cellStyle name="Total 6 2 2" xfId="2298" xr:uid="{4D067541-933D-47E6-A909-889AFBDA08DE}"/>
    <cellStyle name="Total 6 20" xfId="2299" xr:uid="{49B9A2CD-847C-41FB-8EF4-C23B266301A1}"/>
    <cellStyle name="Total 6 20 2" xfId="2300" xr:uid="{1E2556BF-BF22-4042-998F-00D6035E4B7B}"/>
    <cellStyle name="Total 6 21" xfId="2301" xr:uid="{299F8B73-E4D7-433B-BC53-0DE0FDBC1DDF}"/>
    <cellStyle name="Total 6 21 2" xfId="2302" xr:uid="{BE4CE3C6-2A97-4143-A671-2F298F435840}"/>
    <cellStyle name="Total 6 22" xfId="2303" xr:uid="{6F659AB9-B40E-4813-B545-C1979033EAC8}"/>
    <cellStyle name="Total 6 22 2" xfId="2304" xr:uid="{0D7E1B2E-D477-4E73-9C7C-F285DC0523B7}"/>
    <cellStyle name="Total 6 23" xfId="2305" xr:uid="{08FF2730-897F-4A53-937C-030339BF0849}"/>
    <cellStyle name="Total 6 3" xfId="2306" xr:uid="{F4CC47FA-78C8-4794-A67A-2D31A257C353}"/>
    <cellStyle name="Total 6 3 2" xfId="2307" xr:uid="{3CFB9789-98F0-42C5-A873-2361CF81AEC6}"/>
    <cellStyle name="Total 6 4" xfId="2308" xr:uid="{BA496686-BCC6-4908-9E6E-2D50DC04D1CF}"/>
    <cellStyle name="Total 6 4 2" xfId="2309" xr:uid="{5F94F260-8BF6-4873-A9F5-7FA6149101C8}"/>
    <cellStyle name="Total 6 5" xfId="2310" xr:uid="{0DB203EF-223E-4948-A9A5-4DE836298C96}"/>
    <cellStyle name="Total 6 5 2" xfId="2311" xr:uid="{4F5BFC41-A725-4AFF-9F2D-D43C2FF89599}"/>
    <cellStyle name="Total 6 6" xfId="2312" xr:uid="{6EE2E521-33D5-4609-8CDB-DC4FA5165745}"/>
    <cellStyle name="Total 6 6 2" xfId="2313" xr:uid="{5A848C21-9D18-480F-8969-B8421D3017E3}"/>
    <cellStyle name="Total 6 7" xfId="2314" xr:uid="{3B284996-C47C-4BCE-A2BF-46E10695B2A9}"/>
    <cellStyle name="Total 6 7 2" xfId="2315" xr:uid="{304722A0-6A0A-4845-9E5E-21CB469BD4F4}"/>
    <cellStyle name="Total 6 8" xfId="2316" xr:uid="{2704BB69-7F33-4AF7-952E-2E44B0707C7D}"/>
    <cellStyle name="Total 6 8 2" xfId="2317" xr:uid="{C29BFB36-0716-4FD1-B610-E3BD76F91D33}"/>
    <cellStyle name="Total 6 9" xfId="2318" xr:uid="{A1C79DD7-E7BF-4BB1-8428-1002280F1AB2}"/>
    <cellStyle name="Total 6 9 2" xfId="2319" xr:uid="{707D3F76-F009-4392-AC5E-20F8C9C5EDBD}"/>
    <cellStyle name="Total 7" xfId="2320" xr:uid="{D40C295C-6AAC-4F3D-BCD0-4EF3174EFB21}"/>
    <cellStyle name="Total 7 10" xfId="2321" xr:uid="{A56FA6C1-DD0D-48B6-B42A-CDD95A4C6B04}"/>
    <cellStyle name="Total 7 10 2" xfId="2322" xr:uid="{BB385EA1-86F8-4FA4-B8FF-B48A47A0B995}"/>
    <cellStyle name="Total 7 11" xfId="2323" xr:uid="{744FD6CA-7E99-42FA-9355-7DF51925FCA0}"/>
    <cellStyle name="Total 7 11 2" xfId="2324" xr:uid="{6C846660-07C5-4858-BB76-D010584E4EEE}"/>
    <cellStyle name="Total 7 12" xfId="2325" xr:uid="{EF69CE3C-0F32-4C99-B72E-F833BC03E1E5}"/>
    <cellStyle name="Total 7 12 2" xfId="2326" xr:uid="{A97EAA4C-9BFE-4EA6-BAC3-F4D570C2AF3E}"/>
    <cellStyle name="Total 7 13" xfId="2327" xr:uid="{FF42D901-96F4-444B-8622-791C20274FFA}"/>
    <cellStyle name="Total 7 13 2" xfId="2328" xr:uid="{664B4A96-D87A-4FB1-8424-6F021860B6E1}"/>
    <cellStyle name="Total 7 14" xfId="2329" xr:uid="{2A853090-34CC-443E-ABAA-4F220B93DEB4}"/>
    <cellStyle name="Total 7 14 2" xfId="2330" xr:uid="{67399919-690B-4649-8DD0-5DB205CDB62A}"/>
    <cellStyle name="Total 7 15" xfId="2331" xr:uid="{453CF93C-437F-4256-81D6-B154D0D0DFA9}"/>
    <cellStyle name="Total 7 15 2" xfId="2332" xr:uid="{3A18E5EB-4C25-4DD8-A126-986D4AD63259}"/>
    <cellStyle name="Total 7 16" xfId="2333" xr:uid="{1AC601A8-DEEA-405B-A85B-DC0413A5D8FE}"/>
    <cellStyle name="Total 7 16 2" xfId="2334" xr:uid="{D5AD0D70-C0F3-4C5C-AC09-46D967E32789}"/>
    <cellStyle name="Total 7 17" xfId="2335" xr:uid="{6CEC8E7C-4AD2-484E-BABF-D9DF0C6319AE}"/>
    <cellStyle name="Total 7 17 2" xfId="2336" xr:uid="{77D52CE6-1723-49DD-9A09-362FCB766FF9}"/>
    <cellStyle name="Total 7 18" xfId="2337" xr:uid="{5646B812-EEC8-407C-8954-220E67D53251}"/>
    <cellStyle name="Total 7 18 2" xfId="2338" xr:uid="{C25338D3-2DC2-4B5E-930F-94DFFDB6C41D}"/>
    <cellStyle name="Total 7 19" xfId="2339" xr:uid="{47EA980B-0FFA-48CF-A3D7-DB7E4BD303A2}"/>
    <cellStyle name="Total 7 19 2" xfId="2340" xr:uid="{1563DAB7-B071-42FF-822B-035CC885A722}"/>
    <cellStyle name="Total 7 2" xfId="2341" xr:uid="{965C0A8E-6D07-474C-8D67-33F8D8A68808}"/>
    <cellStyle name="Total 7 2 2" xfId="2342" xr:uid="{1701AD2E-85DE-4FD9-9530-9BF7E887805A}"/>
    <cellStyle name="Total 7 20" xfId="2343" xr:uid="{5003F458-F0EC-4C5B-8D92-1646F5B713D1}"/>
    <cellStyle name="Total 7 20 2" xfId="2344" xr:uid="{905A8A07-0CB0-49AE-B500-8DDF7D8534FC}"/>
    <cellStyle name="Total 7 21" xfId="2345" xr:uid="{9A5DAD80-4916-4D6E-B088-469349B58DAD}"/>
    <cellStyle name="Total 7 21 2" xfId="2346" xr:uid="{82FD226F-E9BE-47CB-AE47-0B330AEA8FDB}"/>
    <cellStyle name="Total 7 22" xfId="2347" xr:uid="{5E3DB087-BE52-430E-832A-939E81DDD83D}"/>
    <cellStyle name="Total 7 22 2" xfId="2348" xr:uid="{46F4C3C4-A6C2-458E-8FE9-A78801064E3D}"/>
    <cellStyle name="Total 7 23" xfId="2349" xr:uid="{9AE65515-143D-491C-AE8E-3264B1C87A9C}"/>
    <cellStyle name="Total 7 3" xfId="2350" xr:uid="{D1623EA7-7E12-49D5-86FE-2B9A8AF93840}"/>
    <cellStyle name="Total 7 3 2" xfId="2351" xr:uid="{9289ECDD-ADDE-407D-B4D2-9FE7BD2AADD3}"/>
    <cellStyle name="Total 7 4" xfId="2352" xr:uid="{DA2AFA24-ED1D-4F8A-953D-29F6E7670CFC}"/>
    <cellStyle name="Total 7 4 2" xfId="2353" xr:uid="{B70066CA-FC79-480E-A66E-023805EAEC0F}"/>
    <cellStyle name="Total 7 5" xfId="2354" xr:uid="{6281BB96-DB52-4525-81E8-F5C3C59AECCF}"/>
    <cellStyle name="Total 7 5 2" xfId="2355" xr:uid="{1ECB335D-C280-467A-9962-B4A75DF47FCC}"/>
    <cellStyle name="Total 7 6" xfId="2356" xr:uid="{EE543D1D-0920-42DF-8DFE-231F09EB410F}"/>
    <cellStyle name="Total 7 6 2" xfId="2357" xr:uid="{9AAE8D4A-D5D1-4A83-8F03-BFA8DF420032}"/>
    <cellStyle name="Total 7 7" xfId="2358" xr:uid="{55658135-D4C8-47E4-BC1E-27F2AA1C2E7E}"/>
    <cellStyle name="Total 7 7 2" xfId="2359" xr:uid="{4D1155CB-E01F-409F-9DB2-0BC364ECCDED}"/>
    <cellStyle name="Total 7 8" xfId="2360" xr:uid="{CAD8A241-9729-4AA4-91AF-C7A9D67222E5}"/>
    <cellStyle name="Total 7 8 2" xfId="2361" xr:uid="{97E9B164-7056-4180-B6ED-9B53AF275674}"/>
    <cellStyle name="Total 7 9" xfId="2362" xr:uid="{55173A4F-C26F-4D2D-B906-C9ECBCA57398}"/>
    <cellStyle name="Total 7 9 2" xfId="2363" xr:uid="{549AFB8C-D04C-4BAA-9906-BF80C13C1D54}"/>
    <cellStyle name="Total 8" xfId="2364" xr:uid="{DE37F095-FFCE-415B-933B-C7A511D03D03}"/>
    <cellStyle name="Total 8 10" xfId="2365" xr:uid="{178F386D-109A-42B4-AE9C-C1CAAECEDF00}"/>
    <cellStyle name="Total 8 10 2" xfId="2366" xr:uid="{2857FAC3-D785-4BBF-9927-A4CD92507E6A}"/>
    <cellStyle name="Total 8 11" xfId="2367" xr:uid="{5D24BC31-C5E9-4FC6-9E08-22EB1F6B1057}"/>
    <cellStyle name="Total 8 11 2" xfId="2368" xr:uid="{EA207CDB-3581-4E2B-AB96-A00C9BFEC1C1}"/>
    <cellStyle name="Total 8 12" xfId="2369" xr:uid="{F1FF1DBE-B55A-4D5E-B446-B95E8F6F6272}"/>
    <cellStyle name="Total 8 12 2" xfId="2370" xr:uid="{81CC09F1-2650-4F03-9BA8-C6441AC73323}"/>
    <cellStyle name="Total 8 13" xfId="2371" xr:uid="{89D68791-1A5D-4BD6-9F1D-543528C320B5}"/>
    <cellStyle name="Total 8 13 2" xfId="2372" xr:uid="{701F33EF-466E-4FD0-9DEC-E5138C8F9912}"/>
    <cellStyle name="Total 8 14" xfId="2373" xr:uid="{1245E602-237E-4327-A604-7C356C6D961C}"/>
    <cellStyle name="Total 8 14 2" xfId="2374" xr:uid="{AB293A82-1319-46AA-9CDF-9344C24C0F31}"/>
    <cellStyle name="Total 8 15" xfId="2375" xr:uid="{5FECFF3C-A4A0-4839-9BE4-FAECA4338D69}"/>
    <cellStyle name="Total 8 15 2" xfId="2376" xr:uid="{5168EF08-E59B-4279-A6EB-7858D3A9F519}"/>
    <cellStyle name="Total 8 16" xfId="2377" xr:uid="{7288E04D-F4ED-4D05-B274-95529526EC78}"/>
    <cellStyle name="Total 8 16 2" xfId="2378" xr:uid="{4A7D2690-081B-4223-A958-B24C7A414EE1}"/>
    <cellStyle name="Total 8 17" xfId="2379" xr:uid="{4A1FDA9D-8300-4F81-8BFE-7A018B139EE3}"/>
    <cellStyle name="Total 8 17 2" xfId="2380" xr:uid="{A9D823EA-1327-483A-B203-8A4ADB515830}"/>
    <cellStyle name="Total 8 18" xfId="2381" xr:uid="{0D2BA42F-FF70-4B70-B3AA-C8E4EA3E8E5D}"/>
    <cellStyle name="Total 8 18 2" xfId="2382" xr:uid="{D8293C8A-2BDE-4831-8F10-D7EAD7BBE7D8}"/>
    <cellStyle name="Total 8 19" xfId="2383" xr:uid="{2E90E4F3-583B-40D4-BF1F-35B35C8FF6AF}"/>
    <cellStyle name="Total 8 19 2" xfId="2384" xr:uid="{4D78F2C7-5684-4CC3-866F-4DB50617C95E}"/>
    <cellStyle name="Total 8 2" xfId="2385" xr:uid="{6810461B-65DA-422D-8589-3C57B19F91CF}"/>
    <cellStyle name="Total 8 2 2" xfId="2386" xr:uid="{8D1B99F4-7033-4F28-ADB8-15D3CC54262E}"/>
    <cellStyle name="Total 8 20" xfId="2387" xr:uid="{7735711A-6313-4723-94AE-3929DE78C3C5}"/>
    <cellStyle name="Total 8 20 2" xfId="2388" xr:uid="{199D70C1-E8F3-4EBB-8D48-8C002FD2CEB1}"/>
    <cellStyle name="Total 8 21" xfId="2389" xr:uid="{4459AC47-FA1F-4889-ADC6-930E2891DB01}"/>
    <cellStyle name="Total 8 21 2" xfId="2390" xr:uid="{650FFCF1-139C-4EBB-A72A-1829C0715B3D}"/>
    <cellStyle name="Total 8 22" xfId="2391" xr:uid="{62F8C15B-9326-4338-BF3F-1E17A43808CE}"/>
    <cellStyle name="Total 8 22 2" xfId="2392" xr:uid="{BE5CA073-CD20-4765-93B4-F59D9D1D09A1}"/>
    <cellStyle name="Total 8 23" xfId="2393" xr:uid="{2EB4B291-3C13-4872-B975-2D1D90366BAC}"/>
    <cellStyle name="Total 8 3" xfId="2394" xr:uid="{734C577E-AF37-4BFD-9792-FE50840A46CD}"/>
    <cellStyle name="Total 8 3 2" xfId="2395" xr:uid="{57CDA4AD-19B5-4B99-9101-41CE1F0BC054}"/>
    <cellStyle name="Total 8 4" xfId="2396" xr:uid="{FB7BA438-1361-41BB-82BD-593BB95AF804}"/>
    <cellStyle name="Total 8 4 2" xfId="2397" xr:uid="{4F23C6F7-366C-4E35-95B7-73C9CF4D450B}"/>
    <cellStyle name="Total 8 5" xfId="2398" xr:uid="{237819F9-123C-4AEB-B4F0-AD508E5F609B}"/>
    <cellStyle name="Total 8 5 2" xfId="2399" xr:uid="{84068871-D0CA-4F5B-B555-EC59137184F9}"/>
    <cellStyle name="Total 8 6" xfId="2400" xr:uid="{5F571E53-C091-418F-ABB4-336AF92C1259}"/>
    <cellStyle name="Total 8 6 2" xfId="2401" xr:uid="{E6A9EDFB-4C0B-4994-97C0-C99776BEEBF5}"/>
    <cellStyle name="Total 8 7" xfId="2402" xr:uid="{3707DA7C-60F3-4979-9EC1-6418DBD51F5F}"/>
    <cellStyle name="Total 8 7 2" xfId="2403" xr:uid="{FF823D9B-7942-4549-B5D6-F1755D5A11EF}"/>
    <cellStyle name="Total 8 8" xfId="2404" xr:uid="{D3886182-387A-401C-9BC1-4A5984CEB060}"/>
    <cellStyle name="Total 8 8 2" xfId="2405" xr:uid="{4B389072-0410-4478-9191-5D5E8782B86D}"/>
    <cellStyle name="Total 8 9" xfId="2406" xr:uid="{B1C7B570-DE7C-433C-94C9-401F9E98789E}"/>
    <cellStyle name="Total 8 9 2" xfId="2407" xr:uid="{F0E0241E-EDC3-4EC1-ACAD-3286CC0D36DA}"/>
    <cellStyle name="Total 9" xfId="2408" xr:uid="{7E8108D3-A51D-413C-A4EB-054BE709B4D2}"/>
    <cellStyle name="Total 9 10" xfId="2409" xr:uid="{B14188C4-0A8D-4E18-9C78-47DB725C8BAA}"/>
    <cellStyle name="Total 9 10 2" xfId="2410" xr:uid="{C4E9419A-1766-4860-B4E3-533B427D463A}"/>
    <cellStyle name="Total 9 11" xfId="2411" xr:uid="{5507742A-0C2B-43B2-86B9-61BD647019C3}"/>
    <cellStyle name="Total 9 11 2" xfId="2412" xr:uid="{B9CDE9F9-352B-4A84-B019-83D1E61C87E7}"/>
    <cellStyle name="Total 9 12" xfId="2413" xr:uid="{47132367-845B-4B04-A4AE-790E77E96A5D}"/>
    <cellStyle name="Total 9 12 2" xfId="2414" xr:uid="{E01D14E2-DF5B-4827-94A4-17FE7300CB05}"/>
    <cellStyle name="Total 9 13" xfId="2415" xr:uid="{D80DFDDD-DA75-41A5-99CA-BF34C522453B}"/>
    <cellStyle name="Total 9 13 2" xfId="2416" xr:uid="{CF60A2AE-C92F-4AFA-BB8C-16EE00E80288}"/>
    <cellStyle name="Total 9 14" xfId="2417" xr:uid="{E053D6C2-C8D1-47C8-B1D2-73A1693DFDEC}"/>
    <cellStyle name="Total 9 14 2" xfId="2418" xr:uid="{D1DC6875-D0FE-437A-ACF0-2DB61D39BC4D}"/>
    <cellStyle name="Total 9 15" xfId="2419" xr:uid="{6978972C-BE93-41C5-AC26-37F0D915A7E3}"/>
    <cellStyle name="Total 9 15 2" xfId="2420" xr:uid="{2C1BB45D-CE47-48CD-BC36-BC438EBFFF82}"/>
    <cellStyle name="Total 9 16" xfId="2421" xr:uid="{A6D71A20-71E1-4386-A245-F0E373E7F3AB}"/>
    <cellStyle name="Total 9 16 2" xfId="2422" xr:uid="{CEB474C4-D51C-4B33-B823-BD6FBBCB7ADE}"/>
    <cellStyle name="Total 9 17" xfId="2423" xr:uid="{27E80F9C-E2D7-4FBD-927A-22F09CEC69F2}"/>
    <cellStyle name="Total 9 17 2" xfId="2424" xr:uid="{25AA15ED-D9E2-4515-B8DA-D169F0E83ED6}"/>
    <cellStyle name="Total 9 18" xfId="2425" xr:uid="{54D6BC34-FB7B-4FBC-B972-74FC63254F78}"/>
    <cellStyle name="Total 9 18 2" xfId="2426" xr:uid="{69B5593C-0891-442B-B238-88650042A8F6}"/>
    <cellStyle name="Total 9 19" xfId="2427" xr:uid="{AB05F1B3-DBCC-4C3C-84E3-5D150E02EA2C}"/>
    <cellStyle name="Total 9 19 2" xfId="2428" xr:uid="{40930424-1875-4620-A2AC-EB2E69AB98CD}"/>
    <cellStyle name="Total 9 2" xfId="2429" xr:uid="{B63A3987-7182-4687-A939-159BDCA2F492}"/>
    <cellStyle name="Total 9 2 2" xfId="2430" xr:uid="{F4EE3DEB-0C1C-4401-B7F6-A423DFA0C34A}"/>
    <cellStyle name="Total 9 20" xfId="2431" xr:uid="{DA636563-0F6C-4E14-AD47-45841E49F11A}"/>
    <cellStyle name="Total 9 20 2" xfId="2432" xr:uid="{F9E14C93-9B01-4A6F-9167-35B211F26172}"/>
    <cellStyle name="Total 9 21" xfId="2433" xr:uid="{C8B179DE-242D-47A1-9EE5-17B10443FEAA}"/>
    <cellStyle name="Total 9 21 2" xfId="2434" xr:uid="{FE2E0941-4D14-45EF-97AE-367FDE237E7B}"/>
    <cellStyle name="Total 9 22" xfId="2435" xr:uid="{045B7D58-83D6-48ED-A11B-BAA74608F99D}"/>
    <cellStyle name="Total 9 22 2" xfId="2436" xr:uid="{F7C60F87-2228-4F1C-A4C3-76A81437DA99}"/>
    <cellStyle name="Total 9 23" xfId="2437" xr:uid="{CFAC7BC8-8337-41FD-9760-23EAE7EE893A}"/>
    <cellStyle name="Total 9 3" xfId="2438" xr:uid="{D0C76BC6-0531-43FB-82ED-C60FD47D203E}"/>
    <cellStyle name="Total 9 3 2" xfId="2439" xr:uid="{FC97EBBC-9A28-42CF-A20A-C02570CAF8E7}"/>
    <cellStyle name="Total 9 4" xfId="2440" xr:uid="{C820D4CA-BCBC-4801-B1BC-7DA043786EE9}"/>
    <cellStyle name="Total 9 4 2" xfId="2441" xr:uid="{16A7C188-5355-4B5C-98D0-93D6CE311A94}"/>
    <cellStyle name="Total 9 5" xfId="2442" xr:uid="{AF89C4A7-B1DF-4480-A2A0-A843D21070BA}"/>
    <cellStyle name="Total 9 5 2" xfId="2443" xr:uid="{A857D0CF-E303-41C2-A968-221940C1CD49}"/>
    <cellStyle name="Total 9 6" xfId="2444" xr:uid="{D8EC4D15-B20E-41A2-A9F3-9E43ED87C729}"/>
    <cellStyle name="Total 9 6 2" xfId="2445" xr:uid="{3B0DFF11-D4F0-43AA-AE8E-8215A4FC48B7}"/>
    <cellStyle name="Total 9 7" xfId="2446" xr:uid="{B7EA897E-1E99-4D07-BC65-58775FC8C30A}"/>
    <cellStyle name="Total 9 7 2" xfId="2447" xr:uid="{7EC4AB36-5DF5-4E86-A8DE-2B7BF383D5F0}"/>
    <cellStyle name="Total 9 8" xfId="2448" xr:uid="{BB399C6E-A0D7-4423-A139-4DEC01D663A9}"/>
    <cellStyle name="Total 9 8 2" xfId="2449" xr:uid="{5964E60A-008C-429D-B9A3-96BD7F58D0C3}"/>
    <cellStyle name="Total 9 9" xfId="2450" xr:uid="{7BDBE422-EDA0-4D25-BB2E-45248E14A339}"/>
    <cellStyle name="Total 9 9 2" xfId="2451" xr:uid="{CEF7131C-6D0F-4584-A041-38D1509FC46F}"/>
    <cellStyle name="Vstup" xfId="11" builtinId="20" customBuiltin="1"/>
    <cellStyle name="Výpočet" xfId="13" builtinId="22" customBuiltin="1"/>
    <cellStyle name="Výstup" xfId="12" builtinId="21" customBuiltin="1"/>
    <cellStyle name="Vysvětlující text" xfId="18" builtinId="53" customBuiltin="1"/>
    <cellStyle name="Währung 2" xfId="2452" xr:uid="{0D0D425F-F021-4188-920C-4667A3DF98AD}"/>
    <cellStyle name="Währung 2 2" xfId="2453" xr:uid="{60545443-8BD2-4CE6-AEE3-CB5450335327}"/>
    <cellStyle name="Währung 3" xfId="2454" xr:uid="{7D8FFB00-A034-4BF2-AB10-CBB104C314B2}"/>
    <cellStyle name="Warning Text" xfId="2455" xr:uid="{7A71072A-89E5-4278-8AA3-4B5522107949}"/>
    <cellStyle name="Warning Text 2" xfId="2456" xr:uid="{A20B252F-C35C-439E-BA37-ABFFA8C84554}"/>
    <cellStyle name="Year" xfId="2457" xr:uid="{6C515694-39B0-412F-935D-6B3D56260707}"/>
    <cellStyle name="Zvýraznění 1" xfId="20" builtinId="29" customBuiltin="1"/>
    <cellStyle name="Zvýraznění 2" xfId="23" builtinId="33" customBuiltin="1"/>
    <cellStyle name="Zvýraznění 3" xfId="26" builtinId="37" customBuiltin="1"/>
    <cellStyle name="Zvýraznění 4" xfId="29" builtinId="41" customBuiltin="1"/>
    <cellStyle name="Zvýraznění 5" xfId="32" builtinId="45" customBuiltin="1"/>
    <cellStyle name="Zvýraznění 6" xfId="35" builtinId="49" customBuiltin="1"/>
  </cellStyles>
  <dxfs count="0"/>
  <tableStyles count="0" defaultTableStyle="TableStyleMedium2" defaultPivotStyle="PivotStyleLight16"/>
  <colors>
    <mruColors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</xdr:colOff>
      <xdr:row>6</xdr:row>
      <xdr:rowOff>7620</xdr:rowOff>
    </xdr:from>
    <xdr:to>
      <xdr:col>9</xdr:col>
      <xdr:colOff>93345</xdr:colOff>
      <xdr:row>13</xdr:row>
      <xdr:rowOff>174093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1339DE4-1C42-4599-9AFC-98F2A2E1B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1460" y="922020"/>
          <a:ext cx="4960620" cy="1454253"/>
        </a:xfrm>
        <a:prstGeom prst="rect">
          <a:avLst/>
        </a:prstGeom>
      </xdr:spPr>
    </xdr:pic>
    <xdr:clientData/>
  </xdr:twoCellAnchor>
  <xdr:twoCellAnchor editAs="oneCell">
    <xdr:from>
      <xdr:col>16</xdr:col>
      <xdr:colOff>152400</xdr:colOff>
      <xdr:row>17</xdr:row>
      <xdr:rowOff>114300</xdr:rowOff>
    </xdr:from>
    <xdr:to>
      <xdr:col>23</xdr:col>
      <xdr:colOff>400050</xdr:colOff>
      <xdr:row>25</xdr:row>
      <xdr:rowOff>58379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B58A838-4CCE-D0C1-F167-EEC3663A6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68675" y="3009900"/>
          <a:ext cx="5991225" cy="1380449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17</xdr:row>
      <xdr:rowOff>133350</xdr:rowOff>
    </xdr:from>
    <xdr:to>
      <xdr:col>36</xdr:col>
      <xdr:colOff>475615</xdr:colOff>
      <xdr:row>25</xdr:row>
      <xdr:rowOff>170092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94B6F15-5DD8-4C24-A158-52FBE2B0A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003375" y="2847975"/>
          <a:ext cx="6518275" cy="1492162"/>
        </a:xfrm>
        <a:prstGeom prst="rect">
          <a:avLst/>
        </a:prstGeom>
      </xdr:spPr>
    </xdr:pic>
    <xdr:clientData/>
  </xdr:twoCellAnchor>
  <xdr:oneCellAnchor>
    <xdr:from>
      <xdr:col>29</xdr:col>
      <xdr:colOff>0</xdr:colOff>
      <xdr:row>17</xdr:row>
      <xdr:rowOff>129540</xdr:rowOff>
    </xdr:from>
    <xdr:ext cx="6523990" cy="1488352"/>
    <xdr:pic>
      <xdr:nvPicPr>
        <xdr:cNvPr id="4" name="Obrázek 3">
          <a:extLst>
            <a:ext uri="{FF2B5EF4-FFF2-40B4-BE49-F238E27FC236}">
              <a16:creationId xmlns:a16="http://schemas.microsoft.com/office/drawing/2014/main" id="{28D94B51-B25E-4653-9C24-B88A4E9E1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967180" y="3055620"/>
          <a:ext cx="6523990" cy="1488352"/>
        </a:xfrm>
        <a:prstGeom prst="rect">
          <a:avLst/>
        </a:prstGeom>
      </xdr:spPr>
    </xdr:pic>
    <xdr:clientData/>
  </xdr:oneCellAnchor>
  <xdr:twoCellAnchor editAs="oneCell">
    <xdr:from>
      <xdr:col>4</xdr:col>
      <xdr:colOff>22860</xdr:colOff>
      <xdr:row>6</xdr:row>
      <xdr:rowOff>7620</xdr:rowOff>
    </xdr:from>
    <xdr:to>
      <xdr:col>9</xdr:col>
      <xdr:colOff>93345</xdr:colOff>
      <xdr:row>13</xdr:row>
      <xdr:rowOff>174093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8343C6B-EE51-4BFE-AF35-6BDA6D641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7180" y="1104900"/>
          <a:ext cx="4951095" cy="144282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23</xdr:col>
      <xdr:colOff>1028700</xdr:colOff>
      <xdr:row>24</xdr:row>
      <xdr:rowOff>113624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E805AF9-66EA-4436-B494-3E9187C89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72560" y="3108960"/>
          <a:ext cx="5981700" cy="1393784"/>
        </a:xfrm>
        <a:prstGeom prst="rect">
          <a:avLst/>
        </a:prstGeom>
      </xdr:spPr>
    </xdr:pic>
    <xdr:clientData/>
  </xdr:twoCellAnchor>
  <xdr:twoCellAnchor editAs="oneCell">
    <xdr:from>
      <xdr:col>28</xdr:col>
      <xdr:colOff>0</xdr:colOff>
      <xdr:row>17</xdr:row>
      <xdr:rowOff>133350</xdr:rowOff>
    </xdr:from>
    <xdr:to>
      <xdr:col>35</xdr:col>
      <xdr:colOff>361315</xdr:colOff>
      <xdr:row>25</xdr:row>
      <xdr:rowOff>170092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821438CF-5AA2-4170-AFF1-F4100BE63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967180" y="3242310"/>
          <a:ext cx="6522085" cy="1503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594360</xdr:colOff>
      <xdr:row>5</xdr:row>
      <xdr:rowOff>350520</xdr:rowOff>
    </xdr:from>
    <xdr:to>
      <xdr:col>25</xdr:col>
      <xdr:colOff>40005</xdr:colOff>
      <xdr:row>15</xdr:row>
      <xdr:rowOff>95988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0B68C46-E796-4816-88E4-D59314D1E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0" y="1028700"/>
          <a:ext cx="4932045" cy="144663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24</xdr:col>
      <xdr:colOff>362797</xdr:colOff>
      <xdr:row>37</xdr:row>
      <xdr:rowOff>20216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8088FED-593D-5568-1E3A-73A2FD633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63350" y="3276600"/>
          <a:ext cx="6362700" cy="149087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41</xdr:row>
      <xdr:rowOff>0</xdr:rowOff>
    </xdr:from>
    <xdr:to>
      <xdr:col>24</xdr:col>
      <xdr:colOff>476038</xdr:colOff>
      <xdr:row>51</xdr:row>
      <xdr:rowOff>114424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DD37E18-B74A-6EFD-CF6C-FD049F1D3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20083" y="5958417"/>
          <a:ext cx="6508750" cy="1490257"/>
        </a:xfrm>
        <a:prstGeom prst="rect">
          <a:avLst/>
        </a:prstGeom>
      </xdr:spPr>
    </xdr:pic>
    <xdr:clientData/>
  </xdr:twoCellAnchor>
  <xdr:twoCellAnchor editAs="oneCell">
    <xdr:from>
      <xdr:col>17</xdr:col>
      <xdr:colOff>325967</xdr:colOff>
      <xdr:row>5</xdr:row>
      <xdr:rowOff>299508</xdr:rowOff>
    </xdr:from>
    <xdr:to>
      <xdr:col>25</xdr:col>
      <xdr:colOff>400685</xdr:colOff>
      <xdr:row>14</xdr:row>
      <xdr:rowOff>20211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B5D9FD0A-B2EF-42D5-9A2D-8A3CA3340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0267" y="977688"/>
          <a:ext cx="4951518" cy="129804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26</xdr:row>
      <xdr:rowOff>0</xdr:rowOff>
    </xdr:from>
    <xdr:to>
      <xdr:col>24</xdr:col>
      <xdr:colOff>358987</xdr:colOff>
      <xdr:row>34</xdr:row>
      <xdr:rowOff>39266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3A0C901-0DF6-40A7-8656-A69B90DAD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24560" y="3901440"/>
          <a:ext cx="6355927" cy="1136546"/>
        </a:xfrm>
        <a:prstGeom prst="rect">
          <a:avLst/>
        </a:prstGeom>
      </xdr:spPr>
    </xdr:pic>
    <xdr:clientData/>
  </xdr:twoCellAnchor>
  <xdr:twoCellAnchor editAs="oneCell">
    <xdr:from>
      <xdr:col>15</xdr:col>
      <xdr:colOff>6774</xdr:colOff>
      <xdr:row>41</xdr:row>
      <xdr:rowOff>33654</xdr:rowOff>
    </xdr:from>
    <xdr:to>
      <xdr:col>25</xdr:col>
      <xdr:colOff>402432</xdr:colOff>
      <xdr:row>51</xdr:row>
      <xdr:rowOff>443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8B8025-7F0D-48CC-885D-A0342ABDC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31334" y="5992494"/>
          <a:ext cx="7002198" cy="13383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FIRMY/Aquila%20Real%20Asset%20Finance%20II/Z&#193;V&#282;RKY/2021-12/ARAF%20II_GL_TB_IFRS_31.12.2021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IFRS"/>
      <sheetName val="jb IFRS"/>
      <sheetName val="TB CAS"/>
      <sheetName val="jb CAS"/>
      <sheetName val="pomocné =&gt;"/>
      <sheetName val="067"/>
      <sheetName val="473-SB"/>
      <sheetName val="321"/>
      <sheetName val="dppo"/>
      <sheetName val="SOCI"/>
      <sheetName val="SOFP"/>
      <sheetName val="SOCE"/>
      <sheetName val="přecenění IFRS"/>
      <sheetName val="přecenění CAS"/>
      <sheetName val="příloha"/>
      <sheetName val="sml.PT_výpočet"/>
      <sheetName val="kurzy ČNB"/>
      <sheetName val="CF_úroky (2)"/>
      <sheetName val="TB_12_21"/>
      <sheetName val="JB_12_21"/>
      <sheetName val="CAS"/>
      <sheetName val="TB_en"/>
      <sheetName val="FS_BS"/>
      <sheetName val="FS_P&amp;L"/>
      <sheetName val="CCS"/>
      <sheetName val="liabilities"/>
      <sheetName val="ECL"/>
      <sheetName val="assets"/>
      <sheetName val="saldo"/>
      <sheetName val="SOCF"/>
      <sheetName val="TB_CZK"/>
      <sheetName val="CF_úroky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GEVORKYAN CZ, s.r.o.</v>
          </cell>
        </row>
      </sheetData>
      <sheetData sheetId="10">
        <row r="3">
          <cell r="A3" t="str">
            <v>k 31. prosinci 2021</v>
          </cell>
        </row>
      </sheetData>
      <sheetData sheetId="11"/>
      <sheetData sheetId="12"/>
      <sheetData sheetId="13"/>
      <sheetData sheetId="14"/>
      <sheetData sheetId="15"/>
      <sheetData sheetId="16">
        <row r="1">
          <cell r="A1" t="str">
            <v>Měna</v>
          </cell>
          <cell r="B1" t="str">
            <v>EUR</v>
          </cell>
        </row>
        <row r="2">
          <cell r="A2" t="str">
            <v>Množství</v>
          </cell>
          <cell r="B2">
            <v>1</v>
          </cell>
        </row>
        <row r="3">
          <cell r="A3" t="str">
            <v>Datum</v>
          </cell>
          <cell r="B3" t="str">
            <v>Kurz</v>
          </cell>
        </row>
        <row r="4">
          <cell r="A4">
            <v>43467</v>
          </cell>
          <cell r="B4">
            <v>25.75</v>
          </cell>
        </row>
        <row r="5">
          <cell r="A5" t="str">
            <v>03.01.2019</v>
          </cell>
          <cell r="B5">
            <v>25.68</v>
          </cell>
        </row>
        <row r="6">
          <cell r="A6" t="str">
            <v>04.01.2019</v>
          </cell>
          <cell r="B6">
            <v>25.65</v>
          </cell>
        </row>
        <row r="7">
          <cell r="A7" t="str">
            <v>07.01.2019</v>
          </cell>
          <cell r="B7">
            <v>25.574999999999999</v>
          </cell>
        </row>
        <row r="8">
          <cell r="A8" t="str">
            <v>08.01.2019</v>
          </cell>
          <cell r="B8">
            <v>25.64</v>
          </cell>
        </row>
        <row r="9">
          <cell r="A9" t="str">
            <v>09.01.2019</v>
          </cell>
          <cell r="B9">
            <v>25.63</v>
          </cell>
        </row>
        <row r="10">
          <cell r="A10" t="str">
            <v>10.01.2019</v>
          </cell>
          <cell r="B10">
            <v>25.625</v>
          </cell>
        </row>
        <row r="11">
          <cell r="A11" t="str">
            <v>11.01.2019</v>
          </cell>
          <cell r="B11">
            <v>25.605</v>
          </cell>
        </row>
        <row r="12">
          <cell r="A12" t="str">
            <v>14.01.2019</v>
          </cell>
          <cell r="B12">
            <v>25.56</v>
          </cell>
        </row>
        <row r="13">
          <cell r="A13" t="str">
            <v>15.01.2019</v>
          </cell>
          <cell r="B13">
            <v>25.57</v>
          </cell>
        </row>
        <row r="14">
          <cell r="A14" t="str">
            <v>16.01.2019</v>
          </cell>
          <cell r="B14">
            <v>25.565000000000001</v>
          </cell>
        </row>
        <row r="15">
          <cell r="A15" t="str">
            <v>17.01.2019</v>
          </cell>
          <cell r="B15">
            <v>25.535</v>
          </cell>
        </row>
        <row r="16">
          <cell r="A16" t="str">
            <v>18.01.2019</v>
          </cell>
          <cell r="B16">
            <v>25.58</v>
          </cell>
        </row>
        <row r="17">
          <cell r="A17" t="str">
            <v>21.01.2019</v>
          </cell>
          <cell r="B17">
            <v>25.594999999999999</v>
          </cell>
        </row>
        <row r="18">
          <cell r="A18" t="str">
            <v>22.01.2019</v>
          </cell>
          <cell r="B18">
            <v>25.61</v>
          </cell>
        </row>
        <row r="19">
          <cell r="A19" t="str">
            <v>23.01.2019</v>
          </cell>
          <cell r="B19">
            <v>25.695</v>
          </cell>
        </row>
        <row r="20">
          <cell r="A20" t="str">
            <v>24.01.2019</v>
          </cell>
          <cell r="B20">
            <v>25.695</v>
          </cell>
        </row>
        <row r="21">
          <cell r="A21" t="str">
            <v>25.01.2019</v>
          </cell>
          <cell r="B21">
            <v>25.695</v>
          </cell>
        </row>
        <row r="22">
          <cell r="A22" t="str">
            <v>28.01.2019</v>
          </cell>
          <cell r="B22">
            <v>25.725000000000001</v>
          </cell>
        </row>
        <row r="23">
          <cell r="A23" t="str">
            <v>29.01.2019</v>
          </cell>
          <cell r="B23">
            <v>25.745000000000001</v>
          </cell>
        </row>
        <row r="24">
          <cell r="A24" t="str">
            <v>30.01.2019</v>
          </cell>
          <cell r="B24">
            <v>25.8</v>
          </cell>
        </row>
        <row r="25">
          <cell r="A25" t="str">
            <v>31.01.2019</v>
          </cell>
          <cell r="B25">
            <v>25.76</v>
          </cell>
        </row>
        <row r="26">
          <cell r="A26" t="str">
            <v>01.02.2019</v>
          </cell>
          <cell r="B26">
            <v>25.695</v>
          </cell>
        </row>
        <row r="27">
          <cell r="A27" t="str">
            <v>04.02.2019</v>
          </cell>
          <cell r="B27">
            <v>25.73</v>
          </cell>
        </row>
        <row r="28">
          <cell r="A28" t="str">
            <v>05.02.2019</v>
          </cell>
          <cell r="B28">
            <v>25.7</v>
          </cell>
        </row>
        <row r="29">
          <cell r="A29" t="str">
            <v>06.02.2019</v>
          </cell>
          <cell r="B29">
            <v>25.785</v>
          </cell>
        </row>
        <row r="30">
          <cell r="A30" t="str">
            <v>07.02.2019</v>
          </cell>
          <cell r="B30">
            <v>25.805</v>
          </cell>
        </row>
        <row r="31">
          <cell r="A31" t="str">
            <v>08.02.2019</v>
          </cell>
          <cell r="B31">
            <v>25.805</v>
          </cell>
        </row>
        <row r="32">
          <cell r="A32" t="str">
            <v>11.02.2019</v>
          </cell>
          <cell r="B32">
            <v>25.835000000000001</v>
          </cell>
        </row>
        <row r="33">
          <cell r="A33" t="str">
            <v>12.02.2019</v>
          </cell>
          <cell r="B33">
            <v>25.87</v>
          </cell>
        </row>
        <row r="34">
          <cell r="A34" t="str">
            <v>13.02.2019</v>
          </cell>
          <cell r="B34">
            <v>25.795000000000002</v>
          </cell>
        </row>
        <row r="35">
          <cell r="A35" t="str">
            <v>14.02.2019</v>
          </cell>
          <cell r="B35">
            <v>25.79</v>
          </cell>
        </row>
        <row r="36">
          <cell r="A36" t="str">
            <v>15.02.2019</v>
          </cell>
          <cell r="B36">
            <v>25.7</v>
          </cell>
        </row>
        <row r="37">
          <cell r="A37" t="str">
            <v>18.02.2019</v>
          </cell>
          <cell r="B37">
            <v>25.715</v>
          </cell>
        </row>
        <row r="38">
          <cell r="A38" t="str">
            <v>19.02.2019</v>
          </cell>
          <cell r="B38">
            <v>25.715</v>
          </cell>
        </row>
        <row r="39">
          <cell r="A39" t="str">
            <v>20.02.2019</v>
          </cell>
          <cell r="B39">
            <v>25.68</v>
          </cell>
        </row>
        <row r="40">
          <cell r="A40" t="str">
            <v>21.02.2019</v>
          </cell>
          <cell r="B40">
            <v>25.645</v>
          </cell>
        </row>
        <row r="41">
          <cell r="A41" t="str">
            <v>22.02.2019</v>
          </cell>
          <cell r="B41">
            <v>25.664999999999999</v>
          </cell>
        </row>
        <row r="42">
          <cell r="A42" t="str">
            <v>25.02.2019</v>
          </cell>
          <cell r="B42">
            <v>25.65</v>
          </cell>
        </row>
        <row r="43">
          <cell r="A43" t="str">
            <v>26.02.2019</v>
          </cell>
          <cell r="B43">
            <v>25.664999999999999</v>
          </cell>
        </row>
        <row r="44">
          <cell r="A44" t="str">
            <v>27.02.2019</v>
          </cell>
          <cell r="B44">
            <v>25.655000000000001</v>
          </cell>
        </row>
        <row r="45">
          <cell r="A45" t="str">
            <v>28.02.2019</v>
          </cell>
          <cell r="B45">
            <v>25.6</v>
          </cell>
        </row>
        <row r="46">
          <cell r="A46" t="str">
            <v>01.03.2019</v>
          </cell>
          <cell r="B46">
            <v>25.635000000000002</v>
          </cell>
        </row>
        <row r="47">
          <cell r="A47" t="str">
            <v>04.03.2019</v>
          </cell>
          <cell r="B47">
            <v>25.625</v>
          </cell>
        </row>
        <row r="48">
          <cell r="A48" t="str">
            <v>05.03.2019</v>
          </cell>
          <cell r="B48">
            <v>25.62</v>
          </cell>
        </row>
        <row r="49">
          <cell r="A49" t="str">
            <v>06.03.2019</v>
          </cell>
          <cell r="B49">
            <v>25.594999999999999</v>
          </cell>
        </row>
        <row r="50">
          <cell r="A50" t="str">
            <v>07.03.2019</v>
          </cell>
          <cell r="B50">
            <v>25.61</v>
          </cell>
        </row>
        <row r="51">
          <cell r="A51" t="str">
            <v>08.03.2019</v>
          </cell>
          <cell r="B51">
            <v>25.64</v>
          </cell>
        </row>
        <row r="52">
          <cell r="A52" t="str">
            <v>11.03.2019</v>
          </cell>
          <cell r="B52">
            <v>25.655000000000001</v>
          </cell>
        </row>
        <row r="53">
          <cell r="A53" t="str">
            <v>12.03.2019</v>
          </cell>
          <cell r="B53">
            <v>25.67</v>
          </cell>
        </row>
        <row r="54">
          <cell r="A54" t="str">
            <v>13.03.2019</v>
          </cell>
          <cell r="B54">
            <v>25.67</v>
          </cell>
        </row>
        <row r="55">
          <cell r="A55" t="str">
            <v>14.03.2019</v>
          </cell>
          <cell r="B55">
            <v>25.67</v>
          </cell>
        </row>
        <row r="56">
          <cell r="A56" t="str">
            <v>15.03.2019</v>
          </cell>
          <cell r="B56">
            <v>25.67</v>
          </cell>
        </row>
        <row r="57">
          <cell r="A57" t="str">
            <v>18.03.2019</v>
          </cell>
          <cell r="B57">
            <v>25.614999999999998</v>
          </cell>
        </row>
        <row r="58">
          <cell r="A58" t="str">
            <v>19.03.2019</v>
          </cell>
          <cell r="B58">
            <v>25.6</v>
          </cell>
        </row>
        <row r="59">
          <cell r="A59" t="str">
            <v>20.03.2019</v>
          </cell>
          <cell r="B59">
            <v>25.645</v>
          </cell>
        </row>
        <row r="60">
          <cell r="A60" t="str">
            <v>21.03.2019</v>
          </cell>
          <cell r="B60">
            <v>25.65</v>
          </cell>
        </row>
        <row r="61">
          <cell r="A61" t="str">
            <v>22.03.2019</v>
          </cell>
          <cell r="B61">
            <v>25.725000000000001</v>
          </cell>
        </row>
        <row r="62">
          <cell r="A62" t="str">
            <v>25.03.2019</v>
          </cell>
          <cell r="B62">
            <v>25.76</v>
          </cell>
        </row>
        <row r="63">
          <cell r="A63" t="str">
            <v>26.03.2019</v>
          </cell>
          <cell r="B63">
            <v>25.77</v>
          </cell>
        </row>
        <row r="64">
          <cell r="A64" t="str">
            <v>27.03.2019</v>
          </cell>
          <cell r="B64">
            <v>25.8</v>
          </cell>
        </row>
        <row r="65">
          <cell r="A65" t="str">
            <v>28.03.2019</v>
          </cell>
          <cell r="B65">
            <v>25.78</v>
          </cell>
        </row>
        <row r="66">
          <cell r="A66" t="str">
            <v>29.03.2019</v>
          </cell>
          <cell r="B66">
            <v>25.8</v>
          </cell>
        </row>
        <row r="67">
          <cell r="A67" t="str">
            <v>01.04.2019</v>
          </cell>
          <cell r="B67">
            <v>25.79</v>
          </cell>
        </row>
        <row r="68">
          <cell r="A68" t="str">
            <v>02.04.2019</v>
          </cell>
          <cell r="B68">
            <v>25.75</v>
          </cell>
        </row>
        <row r="69">
          <cell r="A69" t="str">
            <v>03.04.2019</v>
          </cell>
          <cell r="B69">
            <v>25.725000000000001</v>
          </cell>
        </row>
        <row r="70">
          <cell r="A70" t="str">
            <v>04.04.2019</v>
          </cell>
          <cell r="B70">
            <v>25.695</v>
          </cell>
        </row>
        <row r="71">
          <cell r="A71" t="str">
            <v>05.04.2019</v>
          </cell>
          <cell r="B71">
            <v>25.61</v>
          </cell>
        </row>
        <row r="72">
          <cell r="A72" t="str">
            <v>08.04.2019</v>
          </cell>
          <cell r="B72">
            <v>25.635000000000002</v>
          </cell>
        </row>
        <row r="73">
          <cell r="A73" t="str">
            <v>09.04.2019</v>
          </cell>
          <cell r="B73">
            <v>25.62</v>
          </cell>
        </row>
        <row r="74">
          <cell r="A74" t="str">
            <v>10.04.2019</v>
          </cell>
          <cell r="B74">
            <v>25.61</v>
          </cell>
        </row>
        <row r="75">
          <cell r="A75" t="str">
            <v>11.04.2019</v>
          </cell>
          <cell r="B75">
            <v>25.605</v>
          </cell>
        </row>
        <row r="76">
          <cell r="A76" t="str">
            <v>12.04.2019</v>
          </cell>
          <cell r="B76">
            <v>25.62</v>
          </cell>
        </row>
        <row r="77">
          <cell r="A77" t="str">
            <v>15.04.2019</v>
          </cell>
          <cell r="B77">
            <v>25.625</v>
          </cell>
        </row>
        <row r="78">
          <cell r="A78" t="str">
            <v>16.04.2019</v>
          </cell>
          <cell r="B78">
            <v>25.664999999999999</v>
          </cell>
        </row>
        <row r="79">
          <cell r="A79" t="str">
            <v>17.04.2019</v>
          </cell>
          <cell r="B79">
            <v>25.655000000000001</v>
          </cell>
        </row>
        <row r="80">
          <cell r="A80" t="str">
            <v>18.04.2019</v>
          </cell>
          <cell r="B80">
            <v>25.68</v>
          </cell>
        </row>
        <row r="81">
          <cell r="A81" t="str">
            <v>23.04.2019</v>
          </cell>
          <cell r="B81">
            <v>25.745000000000001</v>
          </cell>
        </row>
        <row r="82">
          <cell r="A82" t="str">
            <v>24.04.2019</v>
          </cell>
          <cell r="B82">
            <v>25.73</v>
          </cell>
        </row>
        <row r="83">
          <cell r="A83" t="str">
            <v>25.04.2019</v>
          </cell>
          <cell r="B83">
            <v>25.734999999999999</v>
          </cell>
        </row>
        <row r="84">
          <cell r="A84" t="str">
            <v>26.04.2019</v>
          </cell>
          <cell r="B84">
            <v>25.704999999999998</v>
          </cell>
        </row>
        <row r="85">
          <cell r="A85" t="str">
            <v>29.04.2019</v>
          </cell>
          <cell r="B85">
            <v>25.68</v>
          </cell>
        </row>
        <row r="86">
          <cell r="A86" t="str">
            <v>30.04.2019</v>
          </cell>
          <cell r="B86">
            <v>25.66</v>
          </cell>
        </row>
        <row r="87">
          <cell r="A87" t="str">
            <v>02.05.2019</v>
          </cell>
          <cell r="B87">
            <v>25.645</v>
          </cell>
        </row>
        <row r="88">
          <cell r="A88" t="str">
            <v>03.05.2019</v>
          </cell>
          <cell r="B88">
            <v>25.715</v>
          </cell>
        </row>
        <row r="89">
          <cell r="A89" t="str">
            <v>06.05.2019</v>
          </cell>
          <cell r="B89">
            <v>25.715</v>
          </cell>
        </row>
        <row r="90">
          <cell r="A90" t="str">
            <v>07.05.2019</v>
          </cell>
          <cell r="B90">
            <v>25.73</v>
          </cell>
        </row>
        <row r="91">
          <cell r="A91" t="str">
            <v>09.05.2019</v>
          </cell>
          <cell r="B91">
            <v>25.72</v>
          </cell>
        </row>
        <row r="92">
          <cell r="A92" t="str">
            <v>10.05.2019</v>
          </cell>
          <cell r="B92">
            <v>25.73</v>
          </cell>
        </row>
        <row r="93">
          <cell r="A93" t="str">
            <v>13.05.2019</v>
          </cell>
          <cell r="B93">
            <v>25.774999999999999</v>
          </cell>
        </row>
        <row r="94">
          <cell r="A94" t="str">
            <v>14.05.2019</v>
          </cell>
          <cell r="B94">
            <v>25.75</v>
          </cell>
        </row>
        <row r="95">
          <cell r="A95" t="str">
            <v>15.05.2019</v>
          </cell>
          <cell r="B95">
            <v>25.76</v>
          </cell>
        </row>
        <row r="96">
          <cell r="A96" t="str">
            <v>16.05.2019</v>
          </cell>
          <cell r="B96">
            <v>25.695</v>
          </cell>
        </row>
        <row r="97">
          <cell r="A97" t="str">
            <v>17.05.2019</v>
          </cell>
          <cell r="B97">
            <v>25.75</v>
          </cell>
        </row>
        <row r="98">
          <cell r="A98" t="str">
            <v>20.05.2019</v>
          </cell>
          <cell r="B98">
            <v>25.765000000000001</v>
          </cell>
        </row>
        <row r="99">
          <cell r="A99" t="str">
            <v>21.05.2019</v>
          </cell>
          <cell r="B99">
            <v>25.774999999999999</v>
          </cell>
        </row>
        <row r="100">
          <cell r="A100" t="str">
            <v>22.05.2019</v>
          </cell>
          <cell r="B100">
            <v>25.79</v>
          </cell>
        </row>
        <row r="101">
          <cell r="A101" t="str">
            <v>23.05.2019</v>
          </cell>
          <cell r="B101">
            <v>25.82</v>
          </cell>
        </row>
        <row r="102">
          <cell r="A102" t="str">
            <v>24.05.2019</v>
          </cell>
          <cell r="B102">
            <v>25.83</v>
          </cell>
        </row>
        <row r="103">
          <cell r="A103" t="str">
            <v>27.05.2019</v>
          </cell>
          <cell r="B103">
            <v>25.835000000000001</v>
          </cell>
        </row>
        <row r="104">
          <cell r="A104" t="str">
            <v>28.05.2019</v>
          </cell>
          <cell r="B104">
            <v>25.844999999999999</v>
          </cell>
        </row>
        <row r="105">
          <cell r="A105" t="str">
            <v>29.05.2019</v>
          </cell>
          <cell r="B105">
            <v>25.86</v>
          </cell>
        </row>
        <row r="106">
          <cell r="A106" t="str">
            <v>30.05.2019</v>
          </cell>
          <cell r="B106">
            <v>25.84</v>
          </cell>
        </row>
        <row r="107">
          <cell r="A107" t="str">
            <v>31.05.2019</v>
          </cell>
          <cell r="B107">
            <v>25.817</v>
          </cell>
        </row>
        <row r="108">
          <cell r="A108" t="str">
            <v>03.06.2019</v>
          </cell>
          <cell r="B108">
            <v>25.83</v>
          </cell>
        </row>
        <row r="109">
          <cell r="A109" t="str">
            <v>04.06.2019</v>
          </cell>
          <cell r="B109">
            <v>25.745000000000001</v>
          </cell>
        </row>
        <row r="110">
          <cell r="A110" t="str">
            <v>05.06.2019</v>
          </cell>
          <cell r="B110">
            <v>25.65</v>
          </cell>
        </row>
        <row r="111">
          <cell r="A111" t="str">
            <v>06.06.2019</v>
          </cell>
          <cell r="B111">
            <v>25.66</v>
          </cell>
        </row>
        <row r="112">
          <cell r="A112" t="str">
            <v>07.06.2019</v>
          </cell>
          <cell r="B112">
            <v>25.64</v>
          </cell>
        </row>
        <row r="113">
          <cell r="A113" t="str">
            <v>10.06.2019</v>
          </cell>
          <cell r="B113">
            <v>25.625</v>
          </cell>
        </row>
        <row r="114">
          <cell r="A114" t="str">
            <v>11.06.2019</v>
          </cell>
          <cell r="B114">
            <v>25.64</v>
          </cell>
        </row>
        <row r="115">
          <cell r="A115" t="str">
            <v>12.06.2019</v>
          </cell>
          <cell r="B115">
            <v>25.614999999999998</v>
          </cell>
        </row>
        <row r="116">
          <cell r="A116" t="str">
            <v>13.06.2019</v>
          </cell>
          <cell r="B116">
            <v>25.58</v>
          </cell>
        </row>
        <row r="117">
          <cell r="A117" t="str">
            <v>14.06.2019</v>
          </cell>
          <cell r="B117">
            <v>25.54</v>
          </cell>
        </row>
        <row r="118">
          <cell r="A118" t="str">
            <v>17.06.2019</v>
          </cell>
          <cell r="B118">
            <v>25.56</v>
          </cell>
        </row>
        <row r="119">
          <cell r="A119" t="str">
            <v>18.06.2019</v>
          </cell>
          <cell r="B119">
            <v>25.61</v>
          </cell>
        </row>
        <row r="120">
          <cell r="A120" t="str">
            <v>19.06.2019</v>
          </cell>
          <cell r="B120">
            <v>25.635000000000002</v>
          </cell>
        </row>
        <row r="121">
          <cell r="A121" t="str">
            <v>20.06.2019</v>
          </cell>
          <cell r="B121">
            <v>25.62</v>
          </cell>
        </row>
        <row r="122">
          <cell r="A122" t="str">
            <v>21.06.2019</v>
          </cell>
          <cell r="B122">
            <v>25.61</v>
          </cell>
        </row>
        <row r="123">
          <cell r="A123" t="str">
            <v>24.06.2019</v>
          </cell>
          <cell r="B123">
            <v>25.6</v>
          </cell>
        </row>
        <row r="124">
          <cell r="A124" t="str">
            <v>25.06.2019</v>
          </cell>
          <cell r="B124">
            <v>25.555</v>
          </cell>
        </row>
        <row r="125">
          <cell r="A125" t="str">
            <v>26.06.2019</v>
          </cell>
          <cell r="B125">
            <v>25.484999999999999</v>
          </cell>
        </row>
        <row r="126">
          <cell r="A126" t="str">
            <v>27.06.2019</v>
          </cell>
          <cell r="B126">
            <v>25.434999999999999</v>
          </cell>
        </row>
        <row r="127">
          <cell r="A127" t="str">
            <v>28.06.2019</v>
          </cell>
          <cell r="B127">
            <v>25.445</v>
          </cell>
        </row>
        <row r="128">
          <cell r="A128" t="str">
            <v>30.06.2019</v>
          </cell>
          <cell r="B128">
            <v>25.445</v>
          </cell>
        </row>
        <row r="129">
          <cell r="A129" t="str">
            <v>01.07.2019</v>
          </cell>
          <cell r="B129">
            <v>25.48</v>
          </cell>
        </row>
        <row r="130">
          <cell r="A130" t="str">
            <v>02.07.2019</v>
          </cell>
          <cell r="B130">
            <v>25.46</v>
          </cell>
        </row>
        <row r="131">
          <cell r="A131" t="str">
            <v>03.07.2019</v>
          </cell>
          <cell r="B131">
            <v>25.454999999999998</v>
          </cell>
        </row>
        <row r="132">
          <cell r="A132" t="str">
            <v>04.07.2019</v>
          </cell>
          <cell r="B132">
            <v>25.434999999999999</v>
          </cell>
        </row>
        <row r="133">
          <cell r="A133" t="str">
            <v>08.07.2019</v>
          </cell>
          <cell r="B133">
            <v>25.51</v>
          </cell>
        </row>
        <row r="134">
          <cell r="A134" t="str">
            <v>09.07.2019</v>
          </cell>
          <cell r="B134">
            <v>25.545000000000002</v>
          </cell>
        </row>
        <row r="135">
          <cell r="A135" t="str">
            <v>10.07.2019</v>
          </cell>
          <cell r="B135">
            <v>25.565000000000001</v>
          </cell>
        </row>
        <row r="136">
          <cell r="A136" t="str">
            <v>11.07.2019</v>
          </cell>
          <cell r="B136">
            <v>25.605</v>
          </cell>
        </row>
        <row r="137">
          <cell r="A137" t="str">
            <v>12.07.2019</v>
          </cell>
          <cell r="B137">
            <v>25.59</v>
          </cell>
        </row>
        <row r="138">
          <cell r="A138" t="str">
            <v>15.07.2019</v>
          </cell>
          <cell r="B138">
            <v>25.574999999999999</v>
          </cell>
        </row>
        <row r="139">
          <cell r="A139" t="str">
            <v>16.07.2019</v>
          </cell>
          <cell r="B139">
            <v>25.574999999999999</v>
          </cell>
        </row>
        <row r="140">
          <cell r="A140" t="str">
            <v>17.07.2019</v>
          </cell>
          <cell r="B140">
            <v>25.605</v>
          </cell>
        </row>
        <row r="141">
          <cell r="A141" t="str">
            <v>18.07.2019</v>
          </cell>
          <cell r="B141">
            <v>25.585000000000001</v>
          </cell>
        </row>
        <row r="142">
          <cell r="A142" t="str">
            <v>19.07.2019</v>
          </cell>
          <cell r="B142">
            <v>25.545000000000002</v>
          </cell>
        </row>
        <row r="143">
          <cell r="A143" t="str">
            <v>22.07.2019</v>
          </cell>
          <cell r="B143">
            <v>25.535</v>
          </cell>
        </row>
        <row r="144">
          <cell r="A144" t="str">
            <v>23.07.2019</v>
          </cell>
          <cell r="B144">
            <v>25.545000000000002</v>
          </cell>
        </row>
        <row r="145">
          <cell r="A145" t="str">
            <v>24.07.2019</v>
          </cell>
          <cell r="B145">
            <v>25.54</v>
          </cell>
        </row>
        <row r="146">
          <cell r="A146" t="str">
            <v>25.07.2019</v>
          </cell>
          <cell r="B146">
            <v>25.52</v>
          </cell>
        </row>
        <row r="147">
          <cell r="A147" t="str">
            <v>26.07.2019</v>
          </cell>
          <cell r="B147">
            <v>25.54</v>
          </cell>
        </row>
        <row r="148">
          <cell r="A148" t="str">
            <v>29.07.2019</v>
          </cell>
          <cell r="B148">
            <v>25.61</v>
          </cell>
        </row>
        <row r="149">
          <cell r="A149" t="str">
            <v>30.07.2019</v>
          </cell>
          <cell r="B149">
            <v>25.65</v>
          </cell>
        </row>
        <row r="150">
          <cell r="A150" t="str">
            <v>31.07.2019</v>
          </cell>
          <cell r="B150">
            <v>25.66</v>
          </cell>
        </row>
        <row r="151">
          <cell r="A151" t="str">
            <v>01.08.2019</v>
          </cell>
          <cell r="B151">
            <v>25.74</v>
          </cell>
        </row>
        <row r="152">
          <cell r="A152" t="str">
            <v>02.08.2019</v>
          </cell>
          <cell r="B152">
            <v>25.765000000000001</v>
          </cell>
        </row>
        <row r="153">
          <cell r="A153" t="str">
            <v>05.08.2019</v>
          </cell>
          <cell r="B153">
            <v>25.774999999999999</v>
          </cell>
        </row>
        <row r="154">
          <cell r="A154" t="str">
            <v>06.08.2019</v>
          </cell>
          <cell r="B154">
            <v>25.725000000000001</v>
          </cell>
        </row>
        <row r="155">
          <cell r="A155" t="str">
            <v>07.08.2019</v>
          </cell>
          <cell r="B155">
            <v>25.72</v>
          </cell>
        </row>
        <row r="156">
          <cell r="A156" t="str">
            <v>08.08.2019</v>
          </cell>
          <cell r="B156">
            <v>25.79</v>
          </cell>
        </row>
        <row r="157">
          <cell r="A157" t="str">
            <v>09.08.2019</v>
          </cell>
          <cell r="B157">
            <v>25.83</v>
          </cell>
        </row>
        <row r="158">
          <cell r="A158" t="str">
            <v>12.08.2019</v>
          </cell>
          <cell r="B158">
            <v>25.83</v>
          </cell>
        </row>
        <row r="159">
          <cell r="A159" t="str">
            <v>13.08.2019</v>
          </cell>
          <cell r="B159">
            <v>25.83</v>
          </cell>
        </row>
        <row r="160">
          <cell r="A160" t="str">
            <v>14.08.2019</v>
          </cell>
          <cell r="B160">
            <v>25.885000000000002</v>
          </cell>
        </row>
        <row r="161">
          <cell r="A161" t="str">
            <v>15.08.2019</v>
          </cell>
          <cell r="B161">
            <v>25.88</v>
          </cell>
        </row>
        <row r="162">
          <cell r="A162" t="str">
            <v>16.08.2019</v>
          </cell>
          <cell r="B162">
            <v>25.734999999999999</v>
          </cell>
        </row>
        <row r="163">
          <cell r="A163" t="str">
            <v>19.08.2019</v>
          </cell>
          <cell r="B163">
            <v>25.78</v>
          </cell>
        </row>
        <row r="164">
          <cell r="A164" t="str">
            <v>20.08.2019</v>
          </cell>
          <cell r="B164">
            <v>25.795000000000002</v>
          </cell>
        </row>
        <row r="165">
          <cell r="A165" t="str">
            <v>21.08.2019</v>
          </cell>
          <cell r="B165">
            <v>25.795000000000002</v>
          </cell>
        </row>
        <row r="166">
          <cell r="A166" t="str">
            <v>22.08.2019</v>
          </cell>
          <cell r="B166">
            <v>25.785</v>
          </cell>
        </row>
        <row r="167">
          <cell r="A167" t="str">
            <v>23.08.2019</v>
          </cell>
          <cell r="B167">
            <v>25.765000000000001</v>
          </cell>
        </row>
        <row r="168">
          <cell r="A168" t="str">
            <v>26.08.2019</v>
          </cell>
          <cell r="B168">
            <v>25.79</v>
          </cell>
        </row>
        <row r="169">
          <cell r="A169" t="str">
            <v>27.08.2019</v>
          </cell>
          <cell r="B169">
            <v>25.815000000000001</v>
          </cell>
        </row>
        <row r="170">
          <cell r="A170" t="str">
            <v>28.08.2019</v>
          </cell>
          <cell r="B170">
            <v>25.844999999999999</v>
          </cell>
        </row>
        <row r="171">
          <cell r="A171" t="str">
            <v>29.08.2019</v>
          </cell>
          <cell r="B171">
            <v>25.85</v>
          </cell>
        </row>
        <row r="172">
          <cell r="A172" t="str">
            <v>30.08.2019</v>
          </cell>
          <cell r="B172">
            <v>25.914999999999999</v>
          </cell>
        </row>
        <row r="173">
          <cell r="A173" t="str">
            <v>31.08.2019</v>
          </cell>
          <cell r="B173">
            <v>25.914999999999999</v>
          </cell>
        </row>
        <row r="174">
          <cell r="A174" t="str">
            <v>02.09.2019</v>
          </cell>
          <cell r="B174">
            <v>25.92</v>
          </cell>
        </row>
        <row r="175">
          <cell r="A175" t="str">
            <v>03.09.2019</v>
          </cell>
          <cell r="B175">
            <v>25.885000000000002</v>
          </cell>
        </row>
        <row r="176">
          <cell r="A176" t="str">
            <v>04.09.2019</v>
          </cell>
          <cell r="B176">
            <v>25.835000000000001</v>
          </cell>
        </row>
        <row r="177">
          <cell r="A177" t="str">
            <v>05.09.2019</v>
          </cell>
          <cell r="B177">
            <v>25.85</v>
          </cell>
        </row>
        <row r="178">
          <cell r="A178" t="str">
            <v>06.09.2019</v>
          </cell>
          <cell r="B178">
            <v>25.835000000000001</v>
          </cell>
        </row>
        <row r="179">
          <cell r="A179" t="str">
            <v>09.09.2019</v>
          </cell>
          <cell r="B179">
            <v>25.855</v>
          </cell>
        </row>
        <row r="180">
          <cell r="A180" t="str">
            <v>10.09.2019</v>
          </cell>
          <cell r="B180">
            <v>25.864999999999998</v>
          </cell>
        </row>
        <row r="181">
          <cell r="A181" t="str">
            <v>11.09.2019</v>
          </cell>
          <cell r="B181">
            <v>25.864999999999998</v>
          </cell>
        </row>
        <row r="182">
          <cell r="A182" t="str">
            <v>12.09.2019</v>
          </cell>
          <cell r="B182">
            <v>25.83</v>
          </cell>
        </row>
        <row r="183">
          <cell r="A183" t="str">
            <v>13.09.2019</v>
          </cell>
          <cell r="B183">
            <v>25.844999999999999</v>
          </cell>
        </row>
        <row r="184">
          <cell r="A184" t="str">
            <v>16.09.2019</v>
          </cell>
          <cell r="B184">
            <v>25.88</v>
          </cell>
        </row>
        <row r="185">
          <cell r="A185" t="str">
            <v>17.09.2019</v>
          </cell>
          <cell r="B185">
            <v>25.914999999999999</v>
          </cell>
        </row>
        <row r="186">
          <cell r="A186" t="str">
            <v>18.09.2019</v>
          </cell>
          <cell r="B186">
            <v>25.89</v>
          </cell>
        </row>
        <row r="187">
          <cell r="A187" t="str">
            <v>19.09.2019</v>
          </cell>
          <cell r="B187">
            <v>25.895</v>
          </cell>
        </row>
        <row r="188">
          <cell r="A188" t="str">
            <v>20.09.2019</v>
          </cell>
          <cell r="B188">
            <v>25.91</v>
          </cell>
        </row>
        <row r="189">
          <cell r="A189" t="str">
            <v>23.09.2019</v>
          </cell>
          <cell r="B189">
            <v>25.89</v>
          </cell>
        </row>
        <row r="190">
          <cell r="A190" t="str">
            <v>24.09.2019</v>
          </cell>
          <cell r="B190">
            <v>25.87</v>
          </cell>
        </row>
        <row r="191">
          <cell r="A191" t="str">
            <v>25.09.2019</v>
          </cell>
          <cell r="B191">
            <v>25.86</v>
          </cell>
        </row>
        <row r="192">
          <cell r="A192" t="str">
            <v>26.09.2019</v>
          </cell>
          <cell r="B192">
            <v>25.85</v>
          </cell>
        </row>
        <row r="193">
          <cell r="A193" t="str">
            <v>27.09.2019</v>
          </cell>
          <cell r="B193">
            <v>25.84</v>
          </cell>
        </row>
        <row r="194">
          <cell r="A194" t="str">
            <v>30.09.2019</v>
          </cell>
          <cell r="B194">
            <v>25.815000000000001</v>
          </cell>
        </row>
        <row r="195">
          <cell r="A195" t="str">
            <v>01.10.2019</v>
          </cell>
          <cell r="B195">
            <v>25.74</v>
          </cell>
        </row>
        <row r="196">
          <cell r="A196" t="str">
            <v>02.10.2019</v>
          </cell>
          <cell r="B196">
            <v>25.74</v>
          </cell>
        </row>
        <row r="197">
          <cell r="A197" t="str">
            <v>03.10.2019</v>
          </cell>
          <cell r="B197">
            <v>25.74</v>
          </cell>
        </row>
        <row r="198">
          <cell r="A198" t="str">
            <v>04.10.2019</v>
          </cell>
          <cell r="B198">
            <v>25.74</v>
          </cell>
        </row>
        <row r="199">
          <cell r="A199" t="str">
            <v>07.10.2019</v>
          </cell>
          <cell r="B199">
            <v>25.78</v>
          </cell>
        </row>
        <row r="200">
          <cell r="A200" t="str">
            <v>08.10.2019</v>
          </cell>
          <cell r="B200">
            <v>25.805</v>
          </cell>
        </row>
        <row r="201">
          <cell r="A201" t="str">
            <v>09.10.2019</v>
          </cell>
          <cell r="B201">
            <v>25.824999999999999</v>
          </cell>
        </row>
        <row r="202">
          <cell r="A202" t="str">
            <v>10.10.2019</v>
          </cell>
          <cell r="B202">
            <v>25.89</v>
          </cell>
        </row>
        <row r="203">
          <cell r="A203" t="str">
            <v>11.10.2019</v>
          </cell>
          <cell r="B203">
            <v>25.81</v>
          </cell>
        </row>
        <row r="204">
          <cell r="A204" t="str">
            <v>14.10.2019</v>
          </cell>
          <cell r="B204">
            <v>25.824999999999999</v>
          </cell>
        </row>
        <row r="205">
          <cell r="A205" t="str">
            <v>15.10.2019</v>
          </cell>
          <cell r="B205">
            <v>25.82</v>
          </cell>
        </row>
        <row r="206">
          <cell r="A206" t="str">
            <v>16.10.2019</v>
          </cell>
          <cell r="B206">
            <v>25.76</v>
          </cell>
        </row>
        <row r="207">
          <cell r="A207" t="str">
            <v>17.10.2019</v>
          </cell>
          <cell r="B207">
            <v>25.67</v>
          </cell>
        </row>
        <row r="208">
          <cell r="A208" t="str">
            <v>18.10.2019</v>
          </cell>
          <cell r="B208">
            <v>25.66</v>
          </cell>
        </row>
        <row r="209">
          <cell r="A209" t="str">
            <v>21.10.2019</v>
          </cell>
          <cell r="B209">
            <v>25.63</v>
          </cell>
        </row>
        <row r="210">
          <cell r="A210" t="str">
            <v>22.10.2019</v>
          </cell>
          <cell r="B210">
            <v>25.574999999999999</v>
          </cell>
        </row>
        <row r="211">
          <cell r="A211" t="str">
            <v>23.10.2019</v>
          </cell>
          <cell r="B211">
            <v>25.635000000000002</v>
          </cell>
        </row>
        <row r="212">
          <cell r="A212" t="str">
            <v>24.10.2019</v>
          </cell>
          <cell r="B212">
            <v>25.594999999999999</v>
          </cell>
        </row>
        <row r="213">
          <cell r="A213" t="str">
            <v>25.10.2019</v>
          </cell>
          <cell r="B213">
            <v>25.57</v>
          </cell>
        </row>
        <row r="214">
          <cell r="A214" t="str">
            <v>29.10.2019</v>
          </cell>
          <cell r="B214">
            <v>25.545000000000002</v>
          </cell>
        </row>
        <row r="215">
          <cell r="A215" t="str">
            <v>30.10.2019</v>
          </cell>
          <cell r="B215">
            <v>25.51</v>
          </cell>
        </row>
        <row r="216">
          <cell r="A216" t="str">
            <v>31.10.2019</v>
          </cell>
          <cell r="B216">
            <v>25.51</v>
          </cell>
        </row>
        <row r="217">
          <cell r="A217" t="str">
            <v>01.11.2019</v>
          </cell>
          <cell r="B217">
            <v>25.515000000000001</v>
          </cell>
        </row>
        <row r="218">
          <cell r="A218" t="str">
            <v>04.11.2019</v>
          </cell>
          <cell r="B218">
            <v>25.515000000000001</v>
          </cell>
        </row>
        <row r="219">
          <cell r="A219" t="str">
            <v>05.11.2019</v>
          </cell>
          <cell r="B219">
            <v>25.535</v>
          </cell>
        </row>
        <row r="220">
          <cell r="A220" t="str">
            <v>06.11.2019</v>
          </cell>
          <cell r="B220">
            <v>25.5</v>
          </cell>
        </row>
        <row r="221">
          <cell r="A221" t="str">
            <v>07.11.2019</v>
          </cell>
          <cell r="B221">
            <v>25.53</v>
          </cell>
        </row>
        <row r="222">
          <cell r="A222" t="str">
            <v>08.11.2019</v>
          </cell>
          <cell r="B222">
            <v>25.484999999999999</v>
          </cell>
        </row>
        <row r="223">
          <cell r="A223" t="str">
            <v>11.11.2019</v>
          </cell>
          <cell r="B223">
            <v>25.51</v>
          </cell>
        </row>
        <row r="224">
          <cell r="A224" t="str">
            <v>12.11.2019</v>
          </cell>
          <cell r="B224">
            <v>25.5</v>
          </cell>
        </row>
        <row r="225">
          <cell r="A225" t="str">
            <v>13.11.2019</v>
          </cell>
          <cell r="B225">
            <v>25.59</v>
          </cell>
        </row>
        <row r="226">
          <cell r="A226" t="str">
            <v>14.11.2019</v>
          </cell>
          <cell r="B226">
            <v>25.56</v>
          </cell>
        </row>
        <row r="227">
          <cell r="A227" t="str">
            <v>15.11.2019</v>
          </cell>
          <cell r="B227">
            <v>25.58</v>
          </cell>
        </row>
        <row r="228">
          <cell r="A228" t="str">
            <v>18.11.2019</v>
          </cell>
          <cell r="B228">
            <v>25.59</v>
          </cell>
        </row>
        <row r="229">
          <cell r="A229" t="str">
            <v>19.11.2019</v>
          </cell>
          <cell r="B229">
            <v>25.565000000000001</v>
          </cell>
        </row>
        <row r="230">
          <cell r="A230" t="str">
            <v>20.11.2019</v>
          </cell>
          <cell r="B230">
            <v>25.535</v>
          </cell>
        </row>
        <row r="231">
          <cell r="A231" t="str">
            <v>21.11.2019</v>
          </cell>
          <cell r="B231">
            <v>25.52</v>
          </cell>
        </row>
        <row r="232">
          <cell r="A232" t="str">
            <v>22.11.2019</v>
          </cell>
          <cell r="B232">
            <v>25.51</v>
          </cell>
        </row>
        <row r="233">
          <cell r="A233" t="str">
            <v>25.11.2019</v>
          </cell>
          <cell r="B233">
            <v>25.484999999999999</v>
          </cell>
        </row>
        <row r="234">
          <cell r="A234" t="str">
            <v>26.11.2019</v>
          </cell>
          <cell r="B234">
            <v>25.504999999999999</v>
          </cell>
        </row>
        <row r="235">
          <cell r="A235" t="str">
            <v>27.11.2019</v>
          </cell>
          <cell r="B235">
            <v>25.515000000000001</v>
          </cell>
        </row>
        <row r="236">
          <cell r="A236" t="str">
            <v>28.11.2019</v>
          </cell>
          <cell r="B236">
            <v>25.574999999999999</v>
          </cell>
        </row>
        <row r="237">
          <cell r="A237" t="str">
            <v>29.11.2019</v>
          </cell>
          <cell r="B237">
            <v>25.515000000000001</v>
          </cell>
        </row>
        <row r="238">
          <cell r="A238" t="str">
            <v>30.11.2019</v>
          </cell>
          <cell r="B238">
            <v>25.52</v>
          </cell>
        </row>
        <row r="239">
          <cell r="A239" t="str">
            <v>02.12.2019</v>
          </cell>
          <cell r="B239">
            <v>25.535</v>
          </cell>
        </row>
        <row r="240">
          <cell r="A240" t="str">
            <v>03.12.2019</v>
          </cell>
          <cell r="B240">
            <v>25.524999999999999</v>
          </cell>
        </row>
        <row r="241">
          <cell r="A241" t="str">
            <v>04.12.2019</v>
          </cell>
          <cell r="B241">
            <v>25.52</v>
          </cell>
        </row>
        <row r="242">
          <cell r="A242" t="str">
            <v>05.12.2019</v>
          </cell>
          <cell r="B242">
            <v>25.524999999999999</v>
          </cell>
        </row>
        <row r="243">
          <cell r="A243" t="str">
            <v>06.12.2019</v>
          </cell>
          <cell r="B243">
            <v>25.535</v>
          </cell>
        </row>
        <row r="244">
          <cell r="A244" t="str">
            <v>09.12.2019</v>
          </cell>
          <cell r="B244">
            <v>25.524999999999999</v>
          </cell>
        </row>
        <row r="245">
          <cell r="A245" t="str">
            <v>10.12.2019</v>
          </cell>
          <cell r="B245">
            <v>25.524999999999999</v>
          </cell>
        </row>
        <row r="246">
          <cell r="A246" t="str">
            <v>11.12.2019</v>
          </cell>
          <cell r="B246">
            <v>25.52</v>
          </cell>
        </row>
        <row r="247">
          <cell r="A247" t="str">
            <v>12.12.2019</v>
          </cell>
          <cell r="B247">
            <v>25.52</v>
          </cell>
        </row>
        <row r="248">
          <cell r="A248" t="str">
            <v>13.12.2019</v>
          </cell>
          <cell r="B248">
            <v>25.51</v>
          </cell>
        </row>
        <row r="249">
          <cell r="A249" t="str">
            <v>16.12.2019</v>
          </cell>
          <cell r="B249">
            <v>25.484999999999999</v>
          </cell>
        </row>
        <row r="250">
          <cell r="A250" t="str">
            <v>17.12.2019</v>
          </cell>
          <cell r="B250">
            <v>25.45</v>
          </cell>
        </row>
        <row r="251">
          <cell r="A251" t="str">
            <v>18.12.2019</v>
          </cell>
          <cell r="B251">
            <v>25.49</v>
          </cell>
        </row>
        <row r="252">
          <cell r="A252" t="str">
            <v>19.12.2019</v>
          </cell>
          <cell r="B252">
            <v>25.475000000000001</v>
          </cell>
        </row>
        <row r="253">
          <cell r="A253" t="str">
            <v>20.12.2019</v>
          </cell>
          <cell r="B253">
            <v>25.445</v>
          </cell>
        </row>
        <row r="254">
          <cell r="A254" t="str">
            <v>23.12.2019</v>
          </cell>
          <cell r="B254">
            <v>25.5</v>
          </cell>
        </row>
        <row r="255">
          <cell r="A255" t="str">
            <v>27.12.2019</v>
          </cell>
          <cell r="B255">
            <v>25.51</v>
          </cell>
        </row>
        <row r="256">
          <cell r="A256">
            <v>43829</v>
          </cell>
          <cell r="B256">
            <v>25.46</v>
          </cell>
        </row>
        <row r="257">
          <cell r="A257" t="str">
            <v>31.12.2019</v>
          </cell>
          <cell r="B257">
            <v>25.41</v>
          </cell>
        </row>
        <row r="258">
          <cell r="A258" t="str">
            <v>01.01.2020</v>
          </cell>
          <cell r="B258">
            <v>25.41</v>
          </cell>
        </row>
        <row r="259">
          <cell r="A259">
            <v>43832</v>
          </cell>
          <cell r="B259">
            <v>25.41</v>
          </cell>
        </row>
        <row r="260">
          <cell r="A260" t="str">
            <v>03.01.2020</v>
          </cell>
          <cell r="B260">
            <v>25.36</v>
          </cell>
        </row>
        <row r="261">
          <cell r="A261" t="str">
            <v>06.01.2020</v>
          </cell>
          <cell r="B261">
            <v>25.3</v>
          </cell>
        </row>
        <row r="262">
          <cell r="A262" t="str">
            <v>07.01.2020</v>
          </cell>
          <cell r="B262">
            <v>25.274999999999999</v>
          </cell>
        </row>
        <row r="263">
          <cell r="A263" t="str">
            <v>08.01.2020</v>
          </cell>
          <cell r="B263">
            <v>25.265000000000001</v>
          </cell>
        </row>
        <row r="264">
          <cell r="A264" t="str">
            <v>09.01.2020</v>
          </cell>
          <cell r="B264">
            <v>25.254999999999999</v>
          </cell>
        </row>
        <row r="265">
          <cell r="A265" t="str">
            <v>10.01.2020</v>
          </cell>
          <cell r="B265">
            <v>25.265000000000001</v>
          </cell>
        </row>
        <row r="266">
          <cell r="A266">
            <v>43842</v>
          </cell>
          <cell r="B266">
            <v>25.265000000000001</v>
          </cell>
        </row>
        <row r="267">
          <cell r="A267" t="str">
            <v>13.01.2020</v>
          </cell>
          <cell r="B267">
            <v>25.23</v>
          </cell>
        </row>
        <row r="268">
          <cell r="A268">
            <v>43844</v>
          </cell>
          <cell r="B268">
            <v>25.155000000000001</v>
          </cell>
        </row>
        <row r="269">
          <cell r="A269">
            <v>43845</v>
          </cell>
          <cell r="B269">
            <v>25.145</v>
          </cell>
        </row>
        <row r="270">
          <cell r="A270">
            <v>43846</v>
          </cell>
          <cell r="B270">
            <v>25.17</v>
          </cell>
        </row>
        <row r="271">
          <cell r="A271">
            <v>43847</v>
          </cell>
          <cell r="B271">
            <v>25.145</v>
          </cell>
        </row>
        <row r="272">
          <cell r="A272">
            <v>43850</v>
          </cell>
          <cell r="B272">
            <v>25.125</v>
          </cell>
        </row>
        <row r="273">
          <cell r="A273" t="str">
            <v>21.01.2020</v>
          </cell>
          <cell r="B273">
            <v>25.065000000000001</v>
          </cell>
        </row>
        <row r="274">
          <cell r="A274" t="str">
            <v>22.01.2020</v>
          </cell>
          <cell r="B274">
            <v>25.135000000000002</v>
          </cell>
        </row>
        <row r="275">
          <cell r="A275">
            <v>43853</v>
          </cell>
          <cell r="B275">
            <v>25.16</v>
          </cell>
        </row>
        <row r="276">
          <cell r="A276">
            <v>43854</v>
          </cell>
          <cell r="B276">
            <v>25.16</v>
          </cell>
        </row>
        <row r="277">
          <cell r="A277" t="str">
            <v>27.01.2020</v>
          </cell>
          <cell r="B277">
            <v>25.23</v>
          </cell>
        </row>
        <row r="278">
          <cell r="A278">
            <v>43858</v>
          </cell>
          <cell r="B278">
            <v>25.22</v>
          </cell>
        </row>
        <row r="279">
          <cell r="A279" t="str">
            <v>29.01.2020</v>
          </cell>
          <cell r="B279">
            <v>25.204999999999998</v>
          </cell>
        </row>
        <row r="280">
          <cell r="A280" t="str">
            <v>30.01.2020</v>
          </cell>
          <cell r="B280">
            <v>25.25</v>
          </cell>
        </row>
        <row r="281">
          <cell r="A281">
            <v>43861</v>
          </cell>
          <cell r="B281">
            <v>25.21</v>
          </cell>
        </row>
        <row r="282">
          <cell r="A282">
            <v>43862</v>
          </cell>
          <cell r="B282">
            <v>25.21</v>
          </cell>
        </row>
        <row r="283">
          <cell r="A283">
            <v>43864</v>
          </cell>
          <cell r="B283">
            <v>25.175000000000001</v>
          </cell>
        </row>
        <row r="284">
          <cell r="A284">
            <v>43865</v>
          </cell>
          <cell r="B284">
            <v>25.145</v>
          </cell>
        </row>
        <row r="285">
          <cell r="A285">
            <v>43866</v>
          </cell>
          <cell r="B285">
            <v>25.05</v>
          </cell>
        </row>
        <row r="286">
          <cell r="A286" t="str">
            <v>06.02.2020</v>
          </cell>
          <cell r="B286">
            <v>24.895</v>
          </cell>
        </row>
        <row r="287">
          <cell r="A287" t="str">
            <v>07.02.2020</v>
          </cell>
          <cell r="B287">
            <v>25.03</v>
          </cell>
        </row>
        <row r="288">
          <cell r="A288">
            <v>43870</v>
          </cell>
          <cell r="B288">
            <v>25.03</v>
          </cell>
        </row>
        <row r="289">
          <cell r="A289" t="str">
            <v>10.02.2020</v>
          </cell>
          <cell r="B289">
            <v>25.024999999999999</v>
          </cell>
        </row>
        <row r="290">
          <cell r="A290" t="str">
            <v>11.02.2020</v>
          </cell>
          <cell r="B290">
            <v>24.965</v>
          </cell>
        </row>
        <row r="291">
          <cell r="A291" t="str">
            <v>12.02.2020</v>
          </cell>
          <cell r="B291">
            <v>24.875</v>
          </cell>
        </row>
        <row r="292">
          <cell r="A292" t="str">
            <v>13.02.2020</v>
          </cell>
          <cell r="B292">
            <v>24.835000000000001</v>
          </cell>
        </row>
        <row r="293">
          <cell r="A293" t="str">
            <v>14.02.2020</v>
          </cell>
          <cell r="B293">
            <v>24.824999999999999</v>
          </cell>
        </row>
        <row r="294">
          <cell r="A294" t="str">
            <v>17.02.2020</v>
          </cell>
          <cell r="B294">
            <v>24.795000000000002</v>
          </cell>
        </row>
        <row r="295">
          <cell r="A295" t="str">
            <v>18.02.2020</v>
          </cell>
          <cell r="B295">
            <v>24.9</v>
          </cell>
        </row>
        <row r="296">
          <cell r="A296">
            <v>43880</v>
          </cell>
          <cell r="B296">
            <v>24.96</v>
          </cell>
        </row>
        <row r="297">
          <cell r="A297" t="str">
            <v>20.02.2020</v>
          </cell>
          <cell r="B297">
            <v>25.035</v>
          </cell>
        </row>
        <row r="298">
          <cell r="A298" t="str">
            <v>21.02.2020</v>
          </cell>
          <cell r="B298">
            <v>25.06</v>
          </cell>
        </row>
        <row r="299">
          <cell r="A299" t="str">
            <v>24.02.2020</v>
          </cell>
          <cell r="B299">
            <v>25.19</v>
          </cell>
        </row>
        <row r="300">
          <cell r="A300" t="str">
            <v>25.02.2020</v>
          </cell>
          <cell r="B300">
            <v>25.225000000000001</v>
          </cell>
        </row>
        <row r="301">
          <cell r="A301" t="str">
            <v>26.02.2020</v>
          </cell>
          <cell r="B301">
            <v>25.344999999999999</v>
          </cell>
        </row>
        <row r="302">
          <cell r="A302" t="str">
            <v>27.02.2020</v>
          </cell>
          <cell r="B302">
            <v>25.285</v>
          </cell>
        </row>
        <row r="303">
          <cell r="A303" t="str">
            <v>28.02.2020</v>
          </cell>
          <cell r="B303">
            <v>25.39</v>
          </cell>
        </row>
        <row r="304">
          <cell r="A304">
            <v>43890</v>
          </cell>
          <cell r="B304">
            <v>25.39</v>
          </cell>
        </row>
        <row r="305">
          <cell r="A305">
            <v>43891</v>
          </cell>
          <cell r="B305">
            <v>25.39</v>
          </cell>
        </row>
        <row r="306">
          <cell r="A306" t="str">
            <v>02.03.2020</v>
          </cell>
          <cell r="B306">
            <v>25.524999999999999</v>
          </cell>
        </row>
        <row r="307">
          <cell r="A307" t="str">
            <v>03.03.2020</v>
          </cell>
          <cell r="B307">
            <v>25.475000000000001</v>
          </cell>
        </row>
        <row r="308">
          <cell r="A308">
            <v>43894</v>
          </cell>
          <cell r="B308">
            <v>25.34</v>
          </cell>
        </row>
        <row r="309">
          <cell r="A309" t="str">
            <v>05.03.2020</v>
          </cell>
          <cell r="B309">
            <v>25.355</v>
          </cell>
        </row>
        <row r="310">
          <cell r="A310">
            <v>43896</v>
          </cell>
          <cell r="B310">
            <v>25.46</v>
          </cell>
        </row>
        <row r="311">
          <cell r="A311" t="str">
            <v>09.03.2020</v>
          </cell>
          <cell r="B311">
            <v>25.504999999999999</v>
          </cell>
        </row>
        <row r="312">
          <cell r="A312" t="str">
            <v>10.03.2020</v>
          </cell>
          <cell r="B312">
            <v>25.715</v>
          </cell>
        </row>
        <row r="313">
          <cell r="A313" t="str">
            <v>11.03.2020</v>
          </cell>
          <cell r="B313">
            <v>25.77</v>
          </cell>
        </row>
        <row r="314">
          <cell r="A314" t="str">
            <v>12.03.2020</v>
          </cell>
          <cell r="B314">
            <v>26.2</v>
          </cell>
        </row>
        <row r="315">
          <cell r="A315" t="str">
            <v>13.03.2020</v>
          </cell>
          <cell r="B315">
            <v>26.04</v>
          </cell>
        </row>
        <row r="316">
          <cell r="A316">
            <v>43905</v>
          </cell>
          <cell r="B316">
            <v>26.04</v>
          </cell>
        </row>
        <row r="317">
          <cell r="A317" t="str">
            <v>16.03.2020</v>
          </cell>
          <cell r="B317">
            <v>26.96</v>
          </cell>
        </row>
        <row r="318">
          <cell r="A318" t="str">
            <v>17.03.2020</v>
          </cell>
          <cell r="B318">
            <v>26.98</v>
          </cell>
        </row>
        <row r="319">
          <cell r="A319">
            <v>43908</v>
          </cell>
          <cell r="B319">
            <v>27.16</v>
          </cell>
        </row>
        <row r="320">
          <cell r="A320" t="str">
            <v>19.03.2020</v>
          </cell>
          <cell r="B320">
            <v>27.605</v>
          </cell>
        </row>
        <row r="321">
          <cell r="A321">
            <v>43910</v>
          </cell>
          <cell r="B321">
            <v>27.19</v>
          </cell>
        </row>
        <row r="322">
          <cell r="A322">
            <v>43913</v>
          </cell>
          <cell r="B322">
            <v>27.635000000000002</v>
          </cell>
        </row>
        <row r="323">
          <cell r="A323" t="str">
            <v>24.03.2020</v>
          </cell>
          <cell r="B323">
            <v>27.81</v>
          </cell>
        </row>
        <row r="324">
          <cell r="A324" t="str">
            <v>25.03.2020</v>
          </cell>
          <cell r="B324">
            <v>27.44</v>
          </cell>
        </row>
        <row r="325">
          <cell r="A325" t="str">
            <v>26.03.2020</v>
          </cell>
          <cell r="B325">
            <v>27.55</v>
          </cell>
        </row>
        <row r="326">
          <cell r="A326" t="str">
            <v>27.03.2020</v>
          </cell>
          <cell r="B326">
            <v>27.3</v>
          </cell>
        </row>
        <row r="327">
          <cell r="A327" t="str">
            <v>30.03.2020</v>
          </cell>
          <cell r="B327">
            <v>27.315000000000001</v>
          </cell>
        </row>
        <row r="328">
          <cell r="A328">
            <v>43921</v>
          </cell>
          <cell r="B328">
            <v>27.324999999999999</v>
          </cell>
        </row>
        <row r="329">
          <cell r="A329">
            <v>43922</v>
          </cell>
          <cell r="B329">
            <v>27.38</v>
          </cell>
        </row>
        <row r="330">
          <cell r="A330">
            <v>43923</v>
          </cell>
          <cell r="B330">
            <v>27.555</v>
          </cell>
        </row>
        <row r="331">
          <cell r="A331" t="str">
            <v>03.04.2020</v>
          </cell>
          <cell r="B331">
            <v>27.54</v>
          </cell>
        </row>
        <row r="332">
          <cell r="A332" t="str">
            <v>06.04.2020</v>
          </cell>
          <cell r="B332">
            <v>27.594999999999999</v>
          </cell>
        </row>
        <row r="333">
          <cell r="A333">
            <v>43928</v>
          </cell>
          <cell r="B333">
            <v>27.215</v>
          </cell>
        </row>
        <row r="334">
          <cell r="A334" t="str">
            <v>08.04.2020</v>
          </cell>
          <cell r="B334">
            <v>27.2</v>
          </cell>
        </row>
        <row r="335">
          <cell r="A335">
            <v>43930</v>
          </cell>
          <cell r="B335">
            <v>26.905000000000001</v>
          </cell>
        </row>
        <row r="336">
          <cell r="A336">
            <v>43932</v>
          </cell>
          <cell r="B336">
            <v>26.905000000000001</v>
          </cell>
        </row>
        <row r="337">
          <cell r="A337">
            <v>43934</v>
          </cell>
          <cell r="B337">
            <v>26.905000000000001</v>
          </cell>
        </row>
        <row r="338">
          <cell r="A338" t="str">
            <v>14.04.2020</v>
          </cell>
          <cell r="B338">
            <v>26.855</v>
          </cell>
        </row>
        <row r="339">
          <cell r="A339">
            <v>43936</v>
          </cell>
          <cell r="B339">
            <v>26.99</v>
          </cell>
        </row>
        <row r="340">
          <cell r="A340">
            <v>43937</v>
          </cell>
          <cell r="B340">
            <v>27.055</v>
          </cell>
        </row>
        <row r="341">
          <cell r="A341" t="str">
            <v>17.04.2020</v>
          </cell>
          <cell r="B341">
            <v>27.164999999999999</v>
          </cell>
        </row>
        <row r="342">
          <cell r="A342" t="str">
            <v>20.04.2020</v>
          </cell>
          <cell r="B342">
            <v>27.324999999999999</v>
          </cell>
        </row>
        <row r="343">
          <cell r="A343" t="str">
            <v>21.04.2020</v>
          </cell>
          <cell r="B343">
            <v>27.45</v>
          </cell>
        </row>
        <row r="344">
          <cell r="A344" t="str">
            <v>22.04.2020</v>
          </cell>
          <cell r="B344">
            <v>27.53</v>
          </cell>
        </row>
        <row r="345">
          <cell r="A345" t="str">
            <v>23.04.2020</v>
          </cell>
          <cell r="B345">
            <v>27.55</v>
          </cell>
        </row>
        <row r="346">
          <cell r="A346">
            <v>43945</v>
          </cell>
          <cell r="B346">
            <v>27.31</v>
          </cell>
        </row>
        <row r="347">
          <cell r="A347" t="str">
            <v>27.04.2020</v>
          </cell>
          <cell r="B347">
            <v>27.184999999999999</v>
          </cell>
        </row>
        <row r="348">
          <cell r="A348" t="str">
            <v>28.04.2020</v>
          </cell>
          <cell r="B348">
            <v>27.225000000000001</v>
          </cell>
        </row>
        <row r="349">
          <cell r="A349" t="str">
            <v>29.04.2020</v>
          </cell>
          <cell r="B349">
            <v>27.125</v>
          </cell>
        </row>
        <row r="350">
          <cell r="A350">
            <v>43951</v>
          </cell>
          <cell r="B350">
            <v>27.094999999999999</v>
          </cell>
        </row>
        <row r="351">
          <cell r="A351">
            <v>43952</v>
          </cell>
          <cell r="B351">
            <v>27.094999999999999</v>
          </cell>
        </row>
        <row r="352">
          <cell r="A352" t="str">
            <v>04.05.2020</v>
          </cell>
          <cell r="B352">
            <v>27.12</v>
          </cell>
        </row>
        <row r="353">
          <cell r="A353">
            <v>43956</v>
          </cell>
          <cell r="B353">
            <v>26.984999999999999</v>
          </cell>
        </row>
        <row r="354">
          <cell r="A354" t="str">
            <v>06.05.2020</v>
          </cell>
          <cell r="B354">
            <v>26.984999999999999</v>
          </cell>
        </row>
        <row r="355">
          <cell r="A355">
            <v>43958</v>
          </cell>
          <cell r="B355">
            <v>27.145</v>
          </cell>
        </row>
        <row r="356">
          <cell r="A356" t="str">
            <v>11.05.2020</v>
          </cell>
          <cell r="B356">
            <v>27.594999999999999</v>
          </cell>
        </row>
        <row r="357">
          <cell r="A357">
            <v>43963</v>
          </cell>
          <cell r="B357">
            <v>27.42</v>
          </cell>
        </row>
        <row r="358">
          <cell r="A358" t="str">
            <v>13.05.2020</v>
          </cell>
          <cell r="B358">
            <v>27.41</v>
          </cell>
        </row>
        <row r="359">
          <cell r="A359" t="str">
            <v>14.05.2020</v>
          </cell>
          <cell r="B359">
            <v>27.57</v>
          </cell>
        </row>
        <row r="360">
          <cell r="A360">
            <v>43966</v>
          </cell>
          <cell r="B360">
            <v>27.59</v>
          </cell>
        </row>
        <row r="361">
          <cell r="A361" t="str">
            <v>18.05.2020</v>
          </cell>
          <cell r="B361">
            <v>27.61</v>
          </cell>
        </row>
        <row r="362">
          <cell r="A362" t="str">
            <v>19.05.2020</v>
          </cell>
          <cell r="B362">
            <v>27.49</v>
          </cell>
        </row>
        <row r="363">
          <cell r="A363" t="str">
            <v>20.05.2020</v>
          </cell>
          <cell r="B363">
            <v>27.43</v>
          </cell>
        </row>
        <row r="364">
          <cell r="A364" t="str">
            <v>21.05.2020</v>
          </cell>
          <cell r="B364">
            <v>27.215</v>
          </cell>
        </row>
        <row r="365">
          <cell r="A365" t="str">
            <v>22.05.2020</v>
          </cell>
          <cell r="B365">
            <v>27.21</v>
          </cell>
        </row>
        <row r="366">
          <cell r="A366" t="str">
            <v>25.05.2020</v>
          </cell>
          <cell r="B366">
            <v>27.274999999999999</v>
          </cell>
        </row>
        <row r="367">
          <cell r="A367">
            <v>43977</v>
          </cell>
          <cell r="B367">
            <v>27.07</v>
          </cell>
        </row>
        <row r="368">
          <cell r="A368" t="str">
            <v>27.05.2020</v>
          </cell>
          <cell r="B368">
            <v>27.05</v>
          </cell>
        </row>
        <row r="369">
          <cell r="A369" t="str">
            <v>28.05.2020</v>
          </cell>
          <cell r="B369">
            <v>27.015000000000001</v>
          </cell>
        </row>
        <row r="370">
          <cell r="A370">
            <v>43980</v>
          </cell>
          <cell r="B370">
            <v>26.914999999999999</v>
          </cell>
        </row>
        <row r="371">
          <cell r="A371">
            <v>43982</v>
          </cell>
          <cell r="B371">
            <v>26.914999999999999</v>
          </cell>
        </row>
        <row r="372">
          <cell r="A372">
            <v>43983</v>
          </cell>
          <cell r="B372">
            <v>26.86</v>
          </cell>
        </row>
        <row r="373">
          <cell r="A373" t="str">
            <v>02.06.2020</v>
          </cell>
          <cell r="B373">
            <v>26.65</v>
          </cell>
        </row>
        <row r="374">
          <cell r="A374" t="str">
            <v>03.06.2020</v>
          </cell>
          <cell r="B374">
            <v>26.66</v>
          </cell>
        </row>
        <row r="375">
          <cell r="A375" t="str">
            <v>04.06.2020</v>
          </cell>
          <cell r="B375">
            <v>26.62</v>
          </cell>
        </row>
        <row r="376">
          <cell r="A376" t="str">
            <v>05.06.2020</v>
          </cell>
          <cell r="B376">
            <v>26.59</v>
          </cell>
        </row>
        <row r="377">
          <cell r="A377" t="str">
            <v>08.06.2020</v>
          </cell>
          <cell r="B377">
            <v>26.585000000000001</v>
          </cell>
        </row>
        <row r="378">
          <cell r="A378">
            <v>43991</v>
          </cell>
          <cell r="B378">
            <v>26.635000000000002</v>
          </cell>
        </row>
        <row r="379">
          <cell r="A379">
            <v>43992</v>
          </cell>
          <cell r="B379">
            <v>26.61</v>
          </cell>
        </row>
        <row r="380">
          <cell r="A380">
            <v>43993</v>
          </cell>
          <cell r="B380">
            <v>26.675000000000001</v>
          </cell>
        </row>
        <row r="381">
          <cell r="A381" t="str">
            <v>12.06.2020</v>
          </cell>
          <cell r="B381">
            <v>26.68</v>
          </cell>
        </row>
        <row r="382">
          <cell r="A382" t="str">
            <v>15.06.2020</v>
          </cell>
          <cell r="B382">
            <v>26.68</v>
          </cell>
        </row>
        <row r="383">
          <cell r="A383" t="str">
            <v>16.06.2020</v>
          </cell>
          <cell r="B383">
            <v>26.57</v>
          </cell>
        </row>
        <row r="384">
          <cell r="A384" t="str">
            <v>17.06.2020</v>
          </cell>
          <cell r="B384">
            <v>26.56</v>
          </cell>
        </row>
        <row r="385">
          <cell r="A385">
            <v>44000</v>
          </cell>
          <cell r="B385">
            <v>26.69</v>
          </cell>
        </row>
        <row r="386">
          <cell r="A386" t="str">
            <v>19.06.2020</v>
          </cell>
          <cell r="B386">
            <v>26.684999999999999</v>
          </cell>
        </row>
        <row r="387">
          <cell r="A387" t="str">
            <v>22.06.2020</v>
          </cell>
          <cell r="B387">
            <v>26.664999999999999</v>
          </cell>
        </row>
        <row r="388">
          <cell r="A388">
            <v>44005</v>
          </cell>
          <cell r="B388">
            <v>26.61</v>
          </cell>
        </row>
        <row r="389">
          <cell r="A389">
            <v>44006</v>
          </cell>
          <cell r="B389">
            <v>26.734999999999999</v>
          </cell>
        </row>
        <row r="390">
          <cell r="A390" t="str">
            <v>25.06.2020</v>
          </cell>
          <cell r="B390">
            <v>26.795000000000002</v>
          </cell>
        </row>
        <row r="391">
          <cell r="A391" t="str">
            <v>26.06.2020</v>
          </cell>
          <cell r="B391">
            <v>26.805</v>
          </cell>
        </row>
        <row r="392">
          <cell r="A392" t="str">
            <v>29.06.2020</v>
          </cell>
          <cell r="B392">
            <v>26.85</v>
          </cell>
        </row>
        <row r="393">
          <cell r="A393">
            <v>44012</v>
          </cell>
          <cell r="B393">
            <v>26.74</v>
          </cell>
        </row>
        <row r="394">
          <cell r="A394" t="str">
            <v>01.07.2020</v>
          </cell>
          <cell r="B394">
            <v>26.67</v>
          </cell>
        </row>
        <row r="395">
          <cell r="A395" t="str">
            <v>02.07.2020</v>
          </cell>
          <cell r="B395">
            <v>26.625</v>
          </cell>
        </row>
        <row r="396">
          <cell r="A396" t="str">
            <v>03.07.2020</v>
          </cell>
          <cell r="B396">
            <v>26.664999999999999</v>
          </cell>
        </row>
        <row r="397">
          <cell r="A397" t="str">
            <v>07.07.2020</v>
          </cell>
          <cell r="B397">
            <v>26.68</v>
          </cell>
        </row>
        <row r="398">
          <cell r="A398" t="str">
            <v>08.07.2020</v>
          </cell>
          <cell r="B398">
            <v>26.745000000000001</v>
          </cell>
        </row>
        <row r="399">
          <cell r="A399" t="str">
            <v>09.07.2020</v>
          </cell>
          <cell r="B399">
            <v>26.62</v>
          </cell>
        </row>
        <row r="400">
          <cell r="A400" t="str">
            <v>10.07.2020</v>
          </cell>
          <cell r="B400">
            <v>26.69</v>
          </cell>
        </row>
        <row r="401">
          <cell r="A401" t="str">
            <v>13.07.2020</v>
          </cell>
          <cell r="B401">
            <v>26.645</v>
          </cell>
        </row>
        <row r="402">
          <cell r="A402" t="str">
            <v>14.07.2020</v>
          </cell>
          <cell r="B402">
            <v>26.635000000000002</v>
          </cell>
        </row>
        <row r="403">
          <cell r="A403" t="str">
            <v>15.07.2020</v>
          </cell>
          <cell r="B403">
            <v>26.59</v>
          </cell>
        </row>
        <row r="404">
          <cell r="A404" t="str">
            <v>16.07.2020</v>
          </cell>
          <cell r="B404">
            <v>26.69</v>
          </cell>
        </row>
        <row r="405">
          <cell r="A405" t="str">
            <v>17.07.2020</v>
          </cell>
          <cell r="B405">
            <v>26.684999999999999</v>
          </cell>
        </row>
        <row r="406">
          <cell r="A406" t="str">
            <v>20.07.2020</v>
          </cell>
          <cell r="B406">
            <v>26.6</v>
          </cell>
        </row>
        <row r="407">
          <cell r="A407" t="str">
            <v>21.07.2020</v>
          </cell>
          <cell r="B407">
            <v>26.43</v>
          </cell>
        </row>
        <row r="408">
          <cell r="A408" t="str">
            <v>22.07.2020</v>
          </cell>
          <cell r="B408">
            <v>26.364999999999998</v>
          </cell>
        </row>
        <row r="409">
          <cell r="A409" t="str">
            <v>23.07.2020</v>
          </cell>
          <cell r="B409">
            <v>26.34</v>
          </cell>
        </row>
        <row r="410">
          <cell r="A410" t="str">
            <v>24.07.2020</v>
          </cell>
          <cell r="B410">
            <v>26.265000000000001</v>
          </cell>
        </row>
        <row r="411">
          <cell r="A411" t="str">
            <v>27.07.2020</v>
          </cell>
          <cell r="B411">
            <v>26.195</v>
          </cell>
        </row>
        <row r="412">
          <cell r="A412" t="str">
            <v>28.07.2020</v>
          </cell>
          <cell r="B412">
            <v>26.254999999999999</v>
          </cell>
        </row>
        <row r="413">
          <cell r="A413" t="str">
            <v>29.07.2020</v>
          </cell>
          <cell r="B413">
            <v>26.29</v>
          </cell>
        </row>
        <row r="414">
          <cell r="A414" t="str">
            <v>30.07.2020</v>
          </cell>
          <cell r="B414">
            <v>26.25</v>
          </cell>
        </row>
        <row r="415">
          <cell r="A415" t="str">
            <v>31.07.2020</v>
          </cell>
          <cell r="B415">
            <v>26.175000000000001</v>
          </cell>
        </row>
        <row r="416">
          <cell r="A416" t="str">
            <v>03.08.2020</v>
          </cell>
          <cell r="B416">
            <v>26.32</v>
          </cell>
        </row>
        <row r="417">
          <cell r="A417" t="str">
            <v>04.08.2020</v>
          </cell>
          <cell r="B417">
            <v>26.22</v>
          </cell>
        </row>
        <row r="418">
          <cell r="A418" t="str">
            <v>05.08.2020</v>
          </cell>
          <cell r="B418">
            <v>26.09</v>
          </cell>
        </row>
        <row r="419">
          <cell r="A419" t="str">
            <v>06.08.2020</v>
          </cell>
          <cell r="B419">
            <v>26.2</v>
          </cell>
        </row>
        <row r="420">
          <cell r="A420" t="str">
            <v>07.08.2020</v>
          </cell>
          <cell r="B420">
            <v>26.28</v>
          </cell>
        </row>
        <row r="421">
          <cell r="A421" t="str">
            <v>10.08.2020</v>
          </cell>
          <cell r="B421">
            <v>26.184999999999999</v>
          </cell>
        </row>
        <row r="422">
          <cell r="A422" t="str">
            <v>11.08.2020</v>
          </cell>
          <cell r="B422">
            <v>26.155000000000001</v>
          </cell>
        </row>
        <row r="423">
          <cell r="A423" t="str">
            <v>12.08.2020</v>
          </cell>
          <cell r="B423">
            <v>26.114999999999998</v>
          </cell>
        </row>
        <row r="424">
          <cell r="A424" t="str">
            <v>13.08.2020</v>
          </cell>
          <cell r="B424">
            <v>26.125</v>
          </cell>
        </row>
        <row r="425">
          <cell r="A425" t="str">
            <v>14.08.2020</v>
          </cell>
          <cell r="B425">
            <v>26.114999999999998</v>
          </cell>
        </row>
        <row r="426">
          <cell r="A426">
            <v>44058</v>
          </cell>
          <cell r="B426">
            <v>26.114999999999998</v>
          </cell>
        </row>
        <row r="427">
          <cell r="A427" t="str">
            <v>17.08.2020</v>
          </cell>
          <cell r="B427">
            <v>26.14</v>
          </cell>
        </row>
        <row r="428">
          <cell r="A428" t="str">
            <v>18.08.2020</v>
          </cell>
          <cell r="B428">
            <v>26.135000000000002</v>
          </cell>
        </row>
        <row r="429">
          <cell r="A429" t="str">
            <v>19.08.2020</v>
          </cell>
          <cell r="B429">
            <v>26.114999999999998</v>
          </cell>
        </row>
        <row r="430">
          <cell r="A430" t="str">
            <v>20.08.2020</v>
          </cell>
          <cell r="B430">
            <v>26.06</v>
          </cell>
        </row>
        <row r="431">
          <cell r="A431" t="str">
            <v>21.08.2020</v>
          </cell>
          <cell r="B431">
            <v>26.085000000000001</v>
          </cell>
        </row>
        <row r="432">
          <cell r="A432" t="str">
            <v>24.08.2020</v>
          </cell>
          <cell r="B432">
            <v>26.09</v>
          </cell>
        </row>
        <row r="433">
          <cell r="A433" t="str">
            <v>25.08.2020</v>
          </cell>
          <cell r="B433">
            <v>26.12</v>
          </cell>
        </row>
        <row r="434">
          <cell r="A434" t="str">
            <v>26.08.2020</v>
          </cell>
          <cell r="B434">
            <v>26.26</v>
          </cell>
        </row>
        <row r="435">
          <cell r="A435" t="str">
            <v>27.08.2020</v>
          </cell>
          <cell r="B435">
            <v>26.27</v>
          </cell>
        </row>
        <row r="436">
          <cell r="A436" t="str">
            <v>28.08.2020</v>
          </cell>
          <cell r="B436">
            <v>26.2</v>
          </cell>
        </row>
        <row r="437">
          <cell r="A437" t="str">
            <v>31.08.2020</v>
          </cell>
          <cell r="B437">
            <v>26.21</v>
          </cell>
        </row>
        <row r="438">
          <cell r="A438" t="str">
            <v>01.09.2020</v>
          </cell>
          <cell r="B438">
            <v>26.225000000000001</v>
          </cell>
        </row>
        <row r="439">
          <cell r="A439" t="str">
            <v>02.09.2020</v>
          </cell>
          <cell r="B439">
            <v>26.34</v>
          </cell>
        </row>
        <row r="440">
          <cell r="A440" t="str">
            <v>03.09.2020</v>
          </cell>
          <cell r="B440">
            <v>26.37</v>
          </cell>
        </row>
        <row r="441">
          <cell r="A441" t="str">
            <v>04.09.2020</v>
          </cell>
          <cell r="B441">
            <v>26.434999999999999</v>
          </cell>
        </row>
        <row r="442">
          <cell r="A442" t="str">
            <v>07.09.2020</v>
          </cell>
          <cell r="B442">
            <v>26.47</v>
          </cell>
        </row>
        <row r="443">
          <cell r="A443" t="str">
            <v>08.09.2020</v>
          </cell>
          <cell r="B443">
            <v>26.52</v>
          </cell>
        </row>
        <row r="444">
          <cell r="A444" t="str">
            <v>09.09.2020</v>
          </cell>
          <cell r="B444">
            <v>26.52</v>
          </cell>
        </row>
        <row r="445">
          <cell r="A445" t="str">
            <v>10.09.2020</v>
          </cell>
          <cell r="B445">
            <v>26.585000000000001</v>
          </cell>
        </row>
        <row r="446">
          <cell r="A446" t="str">
            <v>11.09.2020</v>
          </cell>
          <cell r="B446">
            <v>26.57</v>
          </cell>
        </row>
        <row r="447">
          <cell r="A447" t="str">
            <v>14.09.2020</v>
          </cell>
          <cell r="B447">
            <v>26.66</v>
          </cell>
        </row>
        <row r="448">
          <cell r="A448" t="str">
            <v>15.09.2020</v>
          </cell>
          <cell r="B448">
            <v>26.83</v>
          </cell>
        </row>
        <row r="449">
          <cell r="A449" t="str">
            <v>16.09.2020</v>
          </cell>
          <cell r="B449">
            <v>26.715</v>
          </cell>
        </row>
        <row r="450">
          <cell r="A450" t="str">
            <v>17.09.2020</v>
          </cell>
          <cell r="B450">
            <v>26.74</v>
          </cell>
        </row>
        <row r="451">
          <cell r="A451" t="str">
            <v>18.09.2020</v>
          </cell>
          <cell r="B451">
            <v>26.725000000000001</v>
          </cell>
        </row>
        <row r="452">
          <cell r="A452" t="str">
            <v>21.09.2020</v>
          </cell>
          <cell r="B452">
            <v>26.99</v>
          </cell>
        </row>
        <row r="453">
          <cell r="A453" t="str">
            <v>22.09.2020</v>
          </cell>
          <cell r="B453">
            <v>27.01</v>
          </cell>
        </row>
        <row r="454">
          <cell r="A454" t="str">
            <v>23.09.2020</v>
          </cell>
          <cell r="B454">
            <v>26.96</v>
          </cell>
        </row>
        <row r="455">
          <cell r="A455" t="str">
            <v>24.09.2020</v>
          </cell>
          <cell r="B455">
            <v>27.015000000000001</v>
          </cell>
        </row>
        <row r="456">
          <cell r="A456" t="str">
            <v>25.09.2020</v>
          </cell>
          <cell r="B456">
            <v>27.105</v>
          </cell>
        </row>
        <row r="457">
          <cell r="A457" t="str">
            <v>29.09.2020</v>
          </cell>
          <cell r="B457">
            <v>27.15</v>
          </cell>
        </row>
        <row r="458">
          <cell r="A458" t="str">
            <v>30.09.2020</v>
          </cell>
          <cell r="B458">
            <v>27.21</v>
          </cell>
        </row>
        <row r="459">
          <cell r="A459" t="str">
            <v>01.10.2020</v>
          </cell>
          <cell r="B459">
            <v>26.905000000000001</v>
          </cell>
        </row>
        <row r="460">
          <cell r="A460" t="str">
            <v>02.10.2020</v>
          </cell>
          <cell r="B460">
            <v>27.03</v>
          </cell>
        </row>
        <row r="461">
          <cell r="A461" t="str">
            <v>05.10.2020</v>
          </cell>
          <cell r="B461">
            <v>27.094999999999999</v>
          </cell>
        </row>
        <row r="462">
          <cell r="A462" t="str">
            <v>06.10.2020</v>
          </cell>
          <cell r="B462">
            <v>27.03</v>
          </cell>
        </row>
        <row r="463">
          <cell r="A463" t="str">
            <v>07.10.2020</v>
          </cell>
          <cell r="B463">
            <v>27.065000000000001</v>
          </cell>
        </row>
        <row r="464">
          <cell r="A464" t="str">
            <v>08.10.2020</v>
          </cell>
          <cell r="B464">
            <v>27.09</v>
          </cell>
        </row>
        <row r="465">
          <cell r="A465" t="str">
            <v>09.10.2020</v>
          </cell>
          <cell r="B465">
            <v>27.11</v>
          </cell>
        </row>
        <row r="466">
          <cell r="A466" t="str">
            <v>12.10.2020</v>
          </cell>
          <cell r="B466">
            <v>27.175000000000001</v>
          </cell>
        </row>
        <row r="467">
          <cell r="A467" t="str">
            <v>13.10.2020</v>
          </cell>
          <cell r="B467">
            <v>27.36</v>
          </cell>
        </row>
        <row r="468">
          <cell r="A468" t="str">
            <v>14.10.2020</v>
          </cell>
          <cell r="B468">
            <v>27.31</v>
          </cell>
        </row>
        <row r="469">
          <cell r="A469" t="str">
            <v>15.10.2020</v>
          </cell>
          <cell r="B469">
            <v>27.34</v>
          </cell>
        </row>
        <row r="470">
          <cell r="A470" t="str">
            <v>16.10.2020</v>
          </cell>
          <cell r="B470">
            <v>27.274999999999999</v>
          </cell>
        </row>
        <row r="471">
          <cell r="A471" t="str">
            <v>19.10.2020</v>
          </cell>
          <cell r="B471">
            <v>27.344999999999999</v>
          </cell>
        </row>
        <row r="472">
          <cell r="A472" t="str">
            <v>20.10.2020</v>
          </cell>
          <cell r="B472">
            <v>27.234999999999999</v>
          </cell>
        </row>
        <row r="473">
          <cell r="A473" t="str">
            <v>21.10.2020</v>
          </cell>
          <cell r="B473">
            <v>27.184999999999999</v>
          </cell>
        </row>
        <row r="474">
          <cell r="A474" t="str">
            <v>22.10.2020</v>
          </cell>
          <cell r="B474">
            <v>27.23</v>
          </cell>
        </row>
        <row r="475">
          <cell r="A475" t="str">
            <v>23.10.2020</v>
          </cell>
          <cell r="B475">
            <v>27.22</v>
          </cell>
        </row>
        <row r="476">
          <cell r="A476" t="str">
            <v>26.10.2020</v>
          </cell>
          <cell r="B476">
            <v>27.295000000000002</v>
          </cell>
        </row>
        <row r="477">
          <cell r="A477" t="str">
            <v>27.10.2020</v>
          </cell>
          <cell r="B477">
            <v>27.34</v>
          </cell>
        </row>
        <row r="478">
          <cell r="A478" t="str">
            <v>29.10.2020</v>
          </cell>
          <cell r="B478">
            <v>27.364999999999998</v>
          </cell>
        </row>
        <row r="479">
          <cell r="A479" t="str">
            <v>30.10.2020</v>
          </cell>
          <cell r="B479">
            <v>27.25</v>
          </cell>
        </row>
        <row r="480">
          <cell r="A480">
            <v>44135</v>
          </cell>
          <cell r="B480">
            <v>27.25</v>
          </cell>
        </row>
        <row r="481">
          <cell r="A481" t="str">
            <v>02.11.2020</v>
          </cell>
          <cell r="B481">
            <v>27.13</v>
          </cell>
        </row>
        <row r="482">
          <cell r="A482" t="str">
            <v>03.11.2020</v>
          </cell>
          <cell r="B482">
            <v>26.92</v>
          </cell>
        </row>
        <row r="483">
          <cell r="A483" t="str">
            <v>04.11.2020</v>
          </cell>
          <cell r="B483">
            <v>26.78</v>
          </cell>
        </row>
        <row r="484">
          <cell r="A484" t="str">
            <v>05.11.2020</v>
          </cell>
          <cell r="B484">
            <v>26.77</v>
          </cell>
        </row>
        <row r="485">
          <cell r="A485" t="str">
            <v>06.11.2020</v>
          </cell>
          <cell r="B485">
            <v>26.664999999999999</v>
          </cell>
        </row>
        <row r="486">
          <cell r="A486" t="str">
            <v>09.11.2020</v>
          </cell>
          <cell r="B486">
            <v>26.46</v>
          </cell>
        </row>
        <row r="487">
          <cell r="A487" t="str">
            <v>10.11.2020</v>
          </cell>
          <cell r="B487">
            <v>26.431000000000001</v>
          </cell>
        </row>
        <row r="488">
          <cell r="A488" t="str">
            <v>11.11.2020</v>
          </cell>
          <cell r="B488">
            <v>26.445</v>
          </cell>
        </row>
        <row r="489">
          <cell r="A489" t="str">
            <v>12.11.2020</v>
          </cell>
          <cell r="B489">
            <v>26.465</v>
          </cell>
        </row>
        <row r="490">
          <cell r="A490" t="str">
            <v>13.11.2020</v>
          </cell>
          <cell r="B490">
            <v>26.465</v>
          </cell>
        </row>
        <row r="491">
          <cell r="A491" t="str">
            <v>16.11.2020</v>
          </cell>
          <cell r="B491">
            <v>26.35</v>
          </cell>
        </row>
        <row r="492">
          <cell r="A492" t="str">
            <v>18.11.2020</v>
          </cell>
          <cell r="B492">
            <v>26.4</v>
          </cell>
        </row>
        <row r="493">
          <cell r="A493" t="str">
            <v>19.11.2020</v>
          </cell>
          <cell r="B493">
            <v>26.36</v>
          </cell>
        </row>
        <row r="494">
          <cell r="A494" t="str">
            <v>20.11.2020</v>
          </cell>
          <cell r="B494">
            <v>26.34</v>
          </cell>
        </row>
        <row r="495">
          <cell r="A495" t="str">
            <v>23.11.2020</v>
          </cell>
          <cell r="B495">
            <v>26.305</v>
          </cell>
        </row>
        <row r="496">
          <cell r="A496" t="str">
            <v>24.11.2020</v>
          </cell>
          <cell r="B496">
            <v>26.26</v>
          </cell>
        </row>
        <row r="497">
          <cell r="A497" t="str">
            <v>25.11.2020</v>
          </cell>
          <cell r="B497">
            <v>26.175000000000001</v>
          </cell>
        </row>
        <row r="498">
          <cell r="A498" t="str">
            <v>26.11.2020</v>
          </cell>
          <cell r="B498">
            <v>26.135000000000002</v>
          </cell>
        </row>
        <row r="499">
          <cell r="A499" t="str">
            <v>27.11.2020</v>
          </cell>
          <cell r="B499">
            <v>26.22</v>
          </cell>
        </row>
        <row r="500">
          <cell r="A500" t="str">
            <v>30.11.2020</v>
          </cell>
          <cell r="B500">
            <v>26.19</v>
          </cell>
        </row>
        <row r="501">
          <cell r="A501" t="str">
            <v>01.12.2020</v>
          </cell>
          <cell r="B501">
            <v>26.24</v>
          </cell>
        </row>
        <row r="502">
          <cell r="A502" t="str">
            <v>02.12.2020</v>
          </cell>
          <cell r="B502">
            <v>26.41</v>
          </cell>
        </row>
        <row r="503">
          <cell r="A503" t="str">
            <v>03.12.2020</v>
          </cell>
          <cell r="B503">
            <v>26.42</v>
          </cell>
        </row>
        <row r="504">
          <cell r="A504" t="str">
            <v>04.12.2020</v>
          </cell>
          <cell r="B504">
            <v>26.52</v>
          </cell>
        </row>
        <row r="505">
          <cell r="A505" t="str">
            <v>07.12.2020</v>
          </cell>
          <cell r="B505">
            <v>26.48</v>
          </cell>
        </row>
        <row r="506">
          <cell r="A506" t="str">
            <v>08.12.2020</v>
          </cell>
          <cell r="B506">
            <v>26.395</v>
          </cell>
        </row>
        <row r="507">
          <cell r="A507" t="str">
            <v>09.12.2020</v>
          </cell>
          <cell r="B507">
            <v>26.24</v>
          </cell>
        </row>
        <row r="508">
          <cell r="A508" t="str">
            <v>10.12.2020</v>
          </cell>
          <cell r="B508">
            <v>26.305</v>
          </cell>
        </row>
        <row r="509">
          <cell r="A509" t="str">
            <v>11.12.2020</v>
          </cell>
          <cell r="B509">
            <v>26.33</v>
          </cell>
        </row>
        <row r="510">
          <cell r="A510">
            <v>44177</v>
          </cell>
          <cell r="B510">
            <v>26.33</v>
          </cell>
        </row>
        <row r="511">
          <cell r="A511" t="str">
            <v>14.12.2020</v>
          </cell>
          <cell r="B511">
            <v>26.315000000000001</v>
          </cell>
        </row>
        <row r="512">
          <cell r="A512" t="str">
            <v>15.12.2020</v>
          </cell>
          <cell r="B512">
            <v>26.36</v>
          </cell>
        </row>
        <row r="513">
          <cell r="A513" t="str">
            <v>16.12.2020</v>
          </cell>
          <cell r="B513">
            <v>26.2</v>
          </cell>
        </row>
        <row r="514">
          <cell r="A514" t="str">
            <v>17.12.2020</v>
          </cell>
          <cell r="B514">
            <v>26.204999999999998</v>
          </cell>
        </row>
        <row r="515">
          <cell r="A515" t="str">
            <v>18.12.2020</v>
          </cell>
          <cell r="B515">
            <v>26.14</v>
          </cell>
        </row>
        <row r="516">
          <cell r="A516" t="str">
            <v>21.12.2020</v>
          </cell>
          <cell r="B516">
            <v>26.28</v>
          </cell>
        </row>
        <row r="517">
          <cell r="A517" t="str">
            <v>22.12.2020</v>
          </cell>
          <cell r="B517">
            <v>26.3</v>
          </cell>
        </row>
        <row r="518">
          <cell r="A518" t="str">
            <v>23.12.2020</v>
          </cell>
          <cell r="B518">
            <v>26.37</v>
          </cell>
        </row>
        <row r="519">
          <cell r="A519" t="str">
            <v>28.12.2020</v>
          </cell>
          <cell r="B519">
            <v>26.245000000000001</v>
          </cell>
        </row>
        <row r="520">
          <cell r="A520" t="str">
            <v>29.12.2020</v>
          </cell>
          <cell r="B520">
            <v>26.31</v>
          </cell>
        </row>
        <row r="521">
          <cell r="A521" t="str">
            <v>30.12.2020</v>
          </cell>
          <cell r="B521">
            <v>26.25</v>
          </cell>
        </row>
        <row r="522">
          <cell r="A522" t="str">
            <v>31.12.2020</v>
          </cell>
          <cell r="B522">
            <v>26.245000000000001</v>
          </cell>
        </row>
        <row r="523">
          <cell r="A523">
            <v>44197</v>
          </cell>
          <cell r="B523">
            <v>26.245000000000001</v>
          </cell>
        </row>
        <row r="524">
          <cell r="A524" t="str">
            <v>04.01.2021</v>
          </cell>
          <cell r="B524">
            <v>26.14</v>
          </cell>
        </row>
        <row r="525">
          <cell r="A525" t="str">
            <v>05.01.2021</v>
          </cell>
          <cell r="B525">
            <v>26.225000000000001</v>
          </cell>
        </row>
        <row r="526">
          <cell r="A526" t="str">
            <v>06.01.2021</v>
          </cell>
          <cell r="B526">
            <v>26.145</v>
          </cell>
        </row>
        <row r="527">
          <cell r="A527" t="str">
            <v>07.01.2021</v>
          </cell>
          <cell r="B527">
            <v>26.145</v>
          </cell>
        </row>
        <row r="528">
          <cell r="A528" t="str">
            <v>08.01.2021</v>
          </cell>
          <cell r="B528">
            <v>26.164999999999999</v>
          </cell>
        </row>
        <row r="529">
          <cell r="A529" t="str">
            <v>11.01.2021</v>
          </cell>
          <cell r="B529">
            <v>26.24</v>
          </cell>
        </row>
        <row r="530">
          <cell r="A530" t="str">
            <v>12.01.2021</v>
          </cell>
          <cell r="B530">
            <v>26.19</v>
          </cell>
        </row>
        <row r="531">
          <cell r="A531" t="str">
            <v>13.01.2021</v>
          </cell>
          <cell r="B531">
            <v>26.175000000000001</v>
          </cell>
        </row>
        <row r="532">
          <cell r="A532" t="str">
            <v>14.01.2021</v>
          </cell>
          <cell r="B532">
            <v>26.19</v>
          </cell>
        </row>
        <row r="533">
          <cell r="A533" t="str">
            <v>15.01.2021</v>
          </cell>
          <cell r="B533">
            <v>26.16</v>
          </cell>
        </row>
        <row r="534">
          <cell r="A534" t="str">
            <v>18.01.2021</v>
          </cell>
          <cell r="B534">
            <v>26.184999999999999</v>
          </cell>
        </row>
        <row r="535">
          <cell r="A535" t="str">
            <v>19.01.2021</v>
          </cell>
          <cell r="B535">
            <v>26.16</v>
          </cell>
        </row>
        <row r="536">
          <cell r="A536" t="str">
            <v>20.01.2021</v>
          </cell>
          <cell r="B536">
            <v>26.125</v>
          </cell>
        </row>
        <row r="537">
          <cell r="A537" t="str">
            <v>21.01.2021</v>
          </cell>
          <cell r="B537">
            <v>26.094999999999999</v>
          </cell>
        </row>
        <row r="538">
          <cell r="A538" t="str">
            <v>22.01.2021</v>
          </cell>
          <cell r="B538">
            <v>26.15</v>
          </cell>
        </row>
        <row r="539">
          <cell r="A539" t="str">
            <v>25.01.2021</v>
          </cell>
          <cell r="B539">
            <v>26.08</v>
          </cell>
        </row>
        <row r="540">
          <cell r="A540" t="str">
            <v>26.01.2021</v>
          </cell>
          <cell r="B540">
            <v>26.08</v>
          </cell>
        </row>
        <row r="541">
          <cell r="A541" t="str">
            <v>27.01.2021</v>
          </cell>
          <cell r="B541">
            <v>26.024999999999999</v>
          </cell>
        </row>
        <row r="542">
          <cell r="A542" t="str">
            <v>28.01.2021</v>
          </cell>
          <cell r="B542">
            <v>26.114999999999998</v>
          </cell>
        </row>
        <row r="543">
          <cell r="A543" t="str">
            <v>29.01.2021</v>
          </cell>
          <cell r="B543">
            <v>26.02</v>
          </cell>
        </row>
        <row r="544">
          <cell r="A544">
            <v>44227</v>
          </cell>
          <cell r="B544">
            <v>26.02</v>
          </cell>
        </row>
        <row r="545">
          <cell r="A545" t="str">
            <v>01.02.2021</v>
          </cell>
          <cell r="B545">
            <v>25.97</v>
          </cell>
        </row>
        <row r="546">
          <cell r="A546" t="str">
            <v>02.02.2021</v>
          </cell>
          <cell r="B546">
            <v>25.9</v>
          </cell>
        </row>
        <row r="547">
          <cell r="A547" t="str">
            <v>03.02.2021</v>
          </cell>
          <cell r="B547">
            <v>25.925000000000001</v>
          </cell>
        </row>
        <row r="548">
          <cell r="A548" t="str">
            <v>04.02.2021</v>
          </cell>
          <cell r="B548">
            <v>25.895</v>
          </cell>
        </row>
        <row r="549">
          <cell r="A549" t="str">
            <v>05.02.2021</v>
          </cell>
          <cell r="B549">
            <v>25.805</v>
          </cell>
        </row>
        <row r="550">
          <cell r="A550" t="str">
            <v>08.02.2021</v>
          </cell>
          <cell r="B550">
            <v>25.734999999999999</v>
          </cell>
        </row>
        <row r="551">
          <cell r="A551" t="str">
            <v>09.02.2021</v>
          </cell>
          <cell r="B551">
            <v>25.74</v>
          </cell>
        </row>
        <row r="552">
          <cell r="A552" t="str">
            <v>10.02.2021</v>
          </cell>
          <cell r="B552">
            <v>25.83</v>
          </cell>
        </row>
        <row r="553">
          <cell r="A553" t="str">
            <v>11.02.2021</v>
          </cell>
          <cell r="B553">
            <v>25.77</v>
          </cell>
        </row>
        <row r="554">
          <cell r="A554" t="str">
            <v>12.02.2021</v>
          </cell>
          <cell r="B554">
            <v>25.754999999999999</v>
          </cell>
        </row>
        <row r="555">
          <cell r="A555" t="str">
            <v>15.02.2021</v>
          </cell>
          <cell r="B555">
            <v>25.68</v>
          </cell>
        </row>
        <row r="556">
          <cell r="A556" t="str">
            <v>16.02.2021</v>
          </cell>
          <cell r="B556">
            <v>25.754999999999999</v>
          </cell>
        </row>
        <row r="557">
          <cell r="A557" t="str">
            <v>17.02.2021</v>
          </cell>
          <cell r="B557">
            <v>25.885000000000002</v>
          </cell>
        </row>
        <row r="558">
          <cell r="A558" t="str">
            <v>18.02.2021</v>
          </cell>
          <cell r="B558">
            <v>25.86</v>
          </cell>
        </row>
        <row r="559">
          <cell r="A559" t="str">
            <v>19.02.2021</v>
          </cell>
          <cell r="B559">
            <v>25.844999999999999</v>
          </cell>
        </row>
        <row r="560">
          <cell r="A560" t="str">
            <v>22.02.2021</v>
          </cell>
          <cell r="B560">
            <v>25.954999999999998</v>
          </cell>
        </row>
        <row r="561">
          <cell r="A561" t="str">
            <v>23.02.2021</v>
          </cell>
          <cell r="B561">
            <v>25.905000000000001</v>
          </cell>
        </row>
        <row r="562">
          <cell r="A562" t="str">
            <v>24.02.2021</v>
          </cell>
          <cell r="B562">
            <v>25.975000000000001</v>
          </cell>
        </row>
        <row r="563">
          <cell r="A563" t="str">
            <v>25.02.2021</v>
          </cell>
          <cell r="B563">
            <v>26.11</v>
          </cell>
        </row>
        <row r="564">
          <cell r="A564" t="str">
            <v>26.02.2021</v>
          </cell>
          <cell r="B564">
            <v>26.195</v>
          </cell>
        </row>
        <row r="565">
          <cell r="A565">
            <v>44255</v>
          </cell>
          <cell r="B565">
            <v>26.195</v>
          </cell>
        </row>
        <row r="566">
          <cell r="A566" t="str">
            <v>01.03.2021</v>
          </cell>
          <cell r="B566">
            <v>26.08</v>
          </cell>
        </row>
        <row r="567">
          <cell r="A567" t="str">
            <v>02.03.2021</v>
          </cell>
          <cell r="B567">
            <v>26.14</v>
          </cell>
        </row>
        <row r="568">
          <cell r="A568" t="str">
            <v>03.03.2021</v>
          </cell>
          <cell r="B568">
            <v>26.14</v>
          </cell>
        </row>
        <row r="569">
          <cell r="A569" t="str">
            <v>04.03.2021</v>
          </cell>
          <cell r="B569">
            <v>26.204999999999998</v>
          </cell>
        </row>
        <row r="570">
          <cell r="A570" t="str">
            <v>05.03.2021</v>
          </cell>
          <cell r="B570">
            <v>26.305</v>
          </cell>
        </row>
        <row r="571">
          <cell r="A571" t="str">
            <v>08.03.2021</v>
          </cell>
          <cell r="B571">
            <v>26.42</v>
          </cell>
        </row>
        <row r="572">
          <cell r="A572" t="str">
            <v>09.03.2021</v>
          </cell>
          <cell r="B572">
            <v>26.285</v>
          </cell>
        </row>
        <row r="573">
          <cell r="A573" t="str">
            <v>10.03.2021</v>
          </cell>
          <cell r="B573">
            <v>26.225000000000001</v>
          </cell>
        </row>
        <row r="574">
          <cell r="A574" t="str">
            <v>11.03.2021</v>
          </cell>
          <cell r="B574">
            <v>26.17</v>
          </cell>
        </row>
        <row r="575">
          <cell r="A575" t="str">
            <v>12.03.2021</v>
          </cell>
          <cell r="B575">
            <v>26.15</v>
          </cell>
        </row>
        <row r="576">
          <cell r="A576" t="str">
            <v>15.03.2021</v>
          </cell>
          <cell r="B576">
            <v>26.195</v>
          </cell>
        </row>
        <row r="577">
          <cell r="A577" t="str">
            <v>16.03.2021</v>
          </cell>
          <cell r="B577">
            <v>26.2</v>
          </cell>
        </row>
        <row r="578">
          <cell r="A578" t="str">
            <v>17.03.2021</v>
          </cell>
          <cell r="B578">
            <v>26.16</v>
          </cell>
        </row>
        <row r="579">
          <cell r="A579" t="str">
            <v>18.03.2021</v>
          </cell>
          <cell r="B579">
            <v>26.17</v>
          </cell>
        </row>
        <row r="580">
          <cell r="A580" t="str">
            <v>19.03.2021</v>
          </cell>
          <cell r="B580">
            <v>26.13</v>
          </cell>
        </row>
        <row r="581">
          <cell r="A581" t="str">
            <v>22.03.2021</v>
          </cell>
          <cell r="B581">
            <v>26.074999999999999</v>
          </cell>
        </row>
        <row r="582">
          <cell r="A582" t="str">
            <v>23.03.2021</v>
          </cell>
          <cell r="B582">
            <v>26.195</v>
          </cell>
        </row>
        <row r="583">
          <cell r="A583" t="str">
            <v>24.03.2021</v>
          </cell>
          <cell r="B583">
            <v>26.204999999999998</v>
          </cell>
        </row>
        <row r="584">
          <cell r="A584" t="str">
            <v>25.03.2021</v>
          </cell>
          <cell r="B584">
            <v>26.234999999999999</v>
          </cell>
        </row>
        <row r="585">
          <cell r="A585" t="str">
            <v>26.03.2021</v>
          </cell>
          <cell r="B585">
            <v>26.085000000000001</v>
          </cell>
        </row>
        <row r="586">
          <cell r="A586" t="str">
            <v>29.03.2021</v>
          </cell>
          <cell r="B586">
            <v>26.08</v>
          </cell>
        </row>
        <row r="587">
          <cell r="A587" t="str">
            <v>30.03.2021</v>
          </cell>
          <cell r="B587">
            <v>26.125</v>
          </cell>
        </row>
        <row r="588">
          <cell r="A588" t="str">
            <v>31.03.2021</v>
          </cell>
          <cell r="B588">
            <v>26.145</v>
          </cell>
        </row>
        <row r="589">
          <cell r="A589" t="str">
            <v>01.04.2021</v>
          </cell>
          <cell r="B589">
            <v>26.085000000000001</v>
          </cell>
        </row>
        <row r="590">
          <cell r="A590" t="str">
            <v>06.04.2021</v>
          </cell>
          <cell r="B590">
            <v>26.05</v>
          </cell>
        </row>
        <row r="591">
          <cell r="A591" t="str">
            <v>07.04.2021</v>
          </cell>
          <cell r="B591">
            <v>25.914999999999999</v>
          </cell>
        </row>
        <row r="592">
          <cell r="A592" t="str">
            <v>08.04.2021</v>
          </cell>
          <cell r="B592">
            <v>25.88</v>
          </cell>
        </row>
        <row r="593">
          <cell r="A593" t="str">
            <v>09.04.2021</v>
          </cell>
          <cell r="B593">
            <v>25.94</v>
          </cell>
        </row>
        <row r="594">
          <cell r="A594" t="str">
            <v>12.04.2021</v>
          </cell>
          <cell r="B594">
            <v>26.024999999999999</v>
          </cell>
        </row>
        <row r="595">
          <cell r="A595" t="str">
            <v>13.04.2021</v>
          </cell>
          <cell r="B595">
            <v>26.015000000000001</v>
          </cell>
        </row>
        <row r="596">
          <cell r="A596" t="str">
            <v>14.04.2021</v>
          </cell>
          <cell r="B596">
            <v>25.934999999999999</v>
          </cell>
        </row>
        <row r="597">
          <cell r="A597" t="str">
            <v>15.04.2021</v>
          </cell>
          <cell r="B597">
            <v>25.94</v>
          </cell>
        </row>
        <row r="598">
          <cell r="A598" t="str">
            <v>16.04.2021</v>
          </cell>
          <cell r="B598">
            <v>25.925000000000001</v>
          </cell>
        </row>
        <row r="599">
          <cell r="A599" t="str">
            <v>19.04.2021</v>
          </cell>
          <cell r="B599">
            <v>25.9</v>
          </cell>
        </row>
        <row r="600">
          <cell r="A600" t="str">
            <v>20.04.2021</v>
          </cell>
          <cell r="B600">
            <v>25.905000000000001</v>
          </cell>
        </row>
        <row r="601">
          <cell r="A601" t="str">
            <v>21.04.2021</v>
          </cell>
          <cell r="B601">
            <v>25.89</v>
          </cell>
        </row>
        <row r="602">
          <cell r="A602" t="str">
            <v>22.04.2021</v>
          </cell>
          <cell r="B602">
            <v>25.86</v>
          </cell>
        </row>
        <row r="603">
          <cell r="A603" t="str">
            <v>23.04.2021</v>
          </cell>
          <cell r="B603">
            <v>25.844999999999999</v>
          </cell>
        </row>
        <row r="604">
          <cell r="A604" t="str">
            <v>26.04.2021</v>
          </cell>
          <cell r="B604">
            <v>25.805</v>
          </cell>
        </row>
        <row r="605">
          <cell r="A605" t="str">
            <v>27.04.2021</v>
          </cell>
          <cell r="B605">
            <v>25.895</v>
          </cell>
        </row>
        <row r="606">
          <cell r="A606" t="str">
            <v>28.04.2021</v>
          </cell>
          <cell r="B606">
            <v>25.96</v>
          </cell>
        </row>
        <row r="607">
          <cell r="A607" t="str">
            <v>29.04.2021</v>
          </cell>
          <cell r="B607">
            <v>25.815000000000001</v>
          </cell>
        </row>
        <row r="608">
          <cell r="A608" t="str">
            <v>30.04.2021</v>
          </cell>
          <cell r="B608">
            <v>25.885000000000002</v>
          </cell>
        </row>
        <row r="609">
          <cell r="A609" t="str">
            <v>03.05.2021</v>
          </cell>
          <cell r="B609">
            <v>25.785</v>
          </cell>
        </row>
        <row r="610">
          <cell r="A610" t="str">
            <v>04.05.2021</v>
          </cell>
          <cell r="B610">
            <v>25.844999999999999</v>
          </cell>
        </row>
        <row r="611">
          <cell r="A611" t="str">
            <v>05.05.2021</v>
          </cell>
          <cell r="B611">
            <v>25.8</v>
          </cell>
        </row>
        <row r="612">
          <cell r="A612" t="str">
            <v>06.05.2021</v>
          </cell>
          <cell r="B612">
            <v>25.844999999999999</v>
          </cell>
        </row>
        <row r="613">
          <cell r="A613" t="str">
            <v>07.05.2021</v>
          </cell>
          <cell r="B613">
            <v>25.68</v>
          </cell>
        </row>
        <row r="614">
          <cell r="A614" t="str">
            <v>10.05.2021</v>
          </cell>
          <cell r="B614">
            <v>25.59</v>
          </cell>
        </row>
        <row r="615">
          <cell r="A615" t="str">
            <v>11.05.2021</v>
          </cell>
          <cell r="B615">
            <v>25.574999999999999</v>
          </cell>
        </row>
        <row r="616">
          <cell r="A616" t="str">
            <v>12.05.2021</v>
          </cell>
          <cell r="B616">
            <v>25.52</v>
          </cell>
        </row>
        <row r="617">
          <cell r="A617" t="str">
            <v>13.05.2021</v>
          </cell>
          <cell r="B617">
            <v>25.574999999999999</v>
          </cell>
        </row>
        <row r="618">
          <cell r="A618" t="str">
            <v>14.05.2021</v>
          </cell>
          <cell r="B618">
            <v>25.49</v>
          </cell>
        </row>
        <row r="619">
          <cell r="A619" t="str">
            <v>17.05.2021</v>
          </cell>
          <cell r="B619">
            <v>25.495000000000001</v>
          </cell>
        </row>
        <row r="620">
          <cell r="A620" t="str">
            <v>18.05.2021</v>
          </cell>
          <cell r="B620">
            <v>25.43</v>
          </cell>
        </row>
        <row r="621">
          <cell r="A621" t="str">
            <v>19.05.2021</v>
          </cell>
          <cell r="B621">
            <v>25.445</v>
          </cell>
        </row>
        <row r="622">
          <cell r="A622" t="str">
            <v>20.05.2021</v>
          </cell>
          <cell r="B622">
            <v>25.515000000000001</v>
          </cell>
        </row>
        <row r="623">
          <cell r="A623" t="str">
            <v>21.05.2021</v>
          </cell>
          <cell r="B623">
            <v>25.45</v>
          </cell>
        </row>
        <row r="624">
          <cell r="A624" t="str">
            <v>24.05.2021</v>
          </cell>
          <cell r="B624">
            <v>25.43</v>
          </cell>
        </row>
        <row r="625">
          <cell r="A625">
            <v>44341</v>
          </cell>
          <cell r="B625">
            <v>25.45</v>
          </cell>
        </row>
        <row r="626">
          <cell r="A626">
            <v>44342</v>
          </cell>
          <cell r="B626">
            <v>25.45</v>
          </cell>
        </row>
        <row r="627">
          <cell r="A627">
            <v>44343</v>
          </cell>
          <cell r="B627">
            <v>25.44</v>
          </cell>
        </row>
        <row r="628">
          <cell r="A628">
            <v>44344</v>
          </cell>
          <cell r="B628">
            <v>25.45</v>
          </cell>
        </row>
        <row r="629">
          <cell r="A629">
            <v>44347</v>
          </cell>
          <cell r="B629">
            <v>25.45</v>
          </cell>
        </row>
        <row r="630">
          <cell r="A630">
            <v>44348</v>
          </cell>
          <cell r="B630">
            <v>25.46</v>
          </cell>
        </row>
        <row r="631">
          <cell r="A631">
            <v>44349</v>
          </cell>
          <cell r="B631">
            <v>25.465</v>
          </cell>
        </row>
        <row r="632">
          <cell r="A632">
            <v>44350</v>
          </cell>
          <cell r="B632">
            <v>25.45</v>
          </cell>
        </row>
        <row r="633">
          <cell r="A633">
            <v>44351</v>
          </cell>
          <cell r="B633">
            <v>25.445</v>
          </cell>
        </row>
        <row r="634">
          <cell r="A634">
            <v>44354</v>
          </cell>
          <cell r="B634">
            <v>25.395</v>
          </cell>
        </row>
        <row r="635">
          <cell r="A635">
            <v>44355</v>
          </cell>
          <cell r="B635">
            <v>25.4</v>
          </cell>
        </row>
        <row r="636">
          <cell r="A636">
            <v>44356</v>
          </cell>
          <cell r="B636">
            <v>25.375</v>
          </cell>
        </row>
        <row r="637">
          <cell r="A637">
            <v>44357</v>
          </cell>
          <cell r="B637">
            <v>25.39</v>
          </cell>
        </row>
        <row r="638">
          <cell r="A638">
            <v>44358</v>
          </cell>
          <cell r="B638">
            <v>25.335000000000001</v>
          </cell>
        </row>
        <row r="639">
          <cell r="A639">
            <v>44361</v>
          </cell>
          <cell r="B639">
            <v>25.42</v>
          </cell>
        </row>
        <row r="640">
          <cell r="A640">
            <v>44362</v>
          </cell>
          <cell r="B640">
            <v>25.45</v>
          </cell>
        </row>
        <row r="641">
          <cell r="A641">
            <v>44363</v>
          </cell>
          <cell r="B641">
            <v>25.475000000000001</v>
          </cell>
        </row>
        <row r="642">
          <cell r="A642">
            <v>44364</v>
          </cell>
          <cell r="B642">
            <v>25.51</v>
          </cell>
        </row>
        <row r="643">
          <cell r="A643">
            <v>44365</v>
          </cell>
          <cell r="B643">
            <v>25.52</v>
          </cell>
        </row>
        <row r="644">
          <cell r="A644">
            <v>44368</v>
          </cell>
          <cell r="B644">
            <v>25.57</v>
          </cell>
        </row>
        <row r="645">
          <cell r="A645">
            <v>44369</v>
          </cell>
          <cell r="B645">
            <v>25.535</v>
          </cell>
        </row>
        <row r="646">
          <cell r="A646">
            <v>44370</v>
          </cell>
          <cell r="B646">
            <v>25.41</v>
          </cell>
        </row>
        <row r="647">
          <cell r="A647">
            <v>44371</v>
          </cell>
          <cell r="B647">
            <v>25.43</v>
          </cell>
        </row>
        <row r="648">
          <cell r="A648">
            <v>44372</v>
          </cell>
          <cell r="B648">
            <v>25.484999999999999</v>
          </cell>
        </row>
        <row r="649">
          <cell r="A649">
            <v>44375</v>
          </cell>
          <cell r="B649">
            <v>25.5</v>
          </cell>
        </row>
        <row r="650">
          <cell r="A650">
            <v>44376</v>
          </cell>
          <cell r="B650">
            <v>25.48</v>
          </cell>
        </row>
        <row r="651">
          <cell r="A651">
            <v>44377</v>
          </cell>
          <cell r="B651">
            <v>25.484999999999999</v>
          </cell>
        </row>
        <row r="652">
          <cell r="A652" t="str">
            <v>01.07.2021</v>
          </cell>
          <cell r="B652">
            <v>25.504999999999999</v>
          </cell>
        </row>
        <row r="653">
          <cell r="A653" t="str">
            <v>02.07.2021</v>
          </cell>
          <cell r="B653">
            <v>25.605</v>
          </cell>
        </row>
        <row r="654">
          <cell r="A654">
            <v>44381</v>
          </cell>
          <cell r="B654">
            <v>25.605</v>
          </cell>
        </row>
        <row r="655">
          <cell r="A655" t="str">
            <v>07.07.2021</v>
          </cell>
          <cell r="B655">
            <v>25.69</v>
          </cell>
        </row>
        <row r="656">
          <cell r="A656" t="str">
            <v>08.07.2021</v>
          </cell>
          <cell r="B656">
            <v>25.895</v>
          </cell>
        </row>
        <row r="657">
          <cell r="A657" t="str">
            <v>09.07.2021</v>
          </cell>
          <cell r="B657">
            <v>25.8</v>
          </cell>
        </row>
        <row r="658">
          <cell r="A658" t="str">
            <v>12.07.2021</v>
          </cell>
          <cell r="B658">
            <v>25.725000000000001</v>
          </cell>
        </row>
        <row r="659">
          <cell r="A659" t="str">
            <v>13.07.2021</v>
          </cell>
          <cell r="B659">
            <v>25.645</v>
          </cell>
        </row>
        <row r="660">
          <cell r="A660" t="str">
            <v>14.07.2021</v>
          </cell>
          <cell r="B660">
            <v>25.645</v>
          </cell>
        </row>
        <row r="661">
          <cell r="A661" t="str">
            <v>15.07.2021</v>
          </cell>
          <cell r="B661">
            <v>25.585000000000001</v>
          </cell>
        </row>
        <row r="662">
          <cell r="A662" t="str">
            <v>16.07.2021</v>
          </cell>
          <cell r="B662">
            <v>25.535</v>
          </cell>
        </row>
        <row r="663">
          <cell r="A663" t="str">
            <v>19.07.2021</v>
          </cell>
          <cell r="B663">
            <v>25.605</v>
          </cell>
        </row>
        <row r="664">
          <cell r="A664" t="str">
            <v>20.07.2021</v>
          </cell>
          <cell r="B664">
            <v>25.655000000000001</v>
          </cell>
        </row>
        <row r="665">
          <cell r="A665" t="str">
            <v>21.07.2021</v>
          </cell>
          <cell r="B665">
            <v>25.695</v>
          </cell>
        </row>
        <row r="666">
          <cell r="A666" t="str">
            <v>22.07.2021</v>
          </cell>
          <cell r="B666">
            <v>25.64</v>
          </cell>
        </row>
        <row r="667">
          <cell r="A667" t="str">
            <v>23.07.2021</v>
          </cell>
          <cell r="B667">
            <v>25.65</v>
          </cell>
        </row>
        <row r="668">
          <cell r="A668" t="str">
            <v>26.07.2021</v>
          </cell>
          <cell r="B668">
            <v>25.63</v>
          </cell>
        </row>
        <row r="669">
          <cell r="A669" t="str">
            <v>27.07.2021</v>
          </cell>
          <cell r="B669">
            <v>25.684999999999999</v>
          </cell>
        </row>
        <row r="670">
          <cell r="A670" t="str">
            <v>28.07.2021</v>
          </cell>
          <cell r="B670">
            <v>25.625</v>
          </cell>
        </row>
        <row r="671">
          <cell r="A671" t="str">
            <v>29.07.2021</v>
          </cell>
          <cell r="B671">
            <v>25.504999999999999</v>
          </cell>
        </row>
        <row r="672">
          <cell r="A672" t="str">
            <v>30.07.2021</v>
          </cell>
          <cell r="B672">
            <v>25.5</v>
          </cell>
        </row>
        <row r="673">
          <cell r="A673">
            <v>44408</v>
          </cell>
          <cell r="B673">
            <v>25.5</v>
          </cell>
        </row>
        <row r="674">
          <cell r="A674" t="str">
            <v>02.08.2021</v>
          </cell>
          <cell r="B674">
            <v>25.475000000000001</v>
          </cell>
        </row>
        <row r="675">
          <cell r="A675" t="str">
            <v>03.08.2021</v>
          </cell>
          <cell r="B675">
            <v>25.484999999999999</v>
          </cell>
        </row>
        <row r="676">
          <cell r="A676" t="str">
            <v>04.08.2021</v>
          </cell>
          <cell r="B676">
            <v>25.434999999999999</v>
          </cell>
        </row>
        <row r="677">
          <cell r="A677" t="str">
            <v>05.08.2021</v>
          </cell>
          <cell r="B677">
            <v>25.414999999999999</v>
          </cell>
        </row>
        <row r="678">
          <cell r="A678" t="str">
            <v>06.08.2021</v>
          </cell>
          <cell r="B678">
            <v>25.41</v>
          </cell>
        </row>
        <row r="679">
          <cell r="A679" t="str">
            <v>09.08.2021</v>
          </cell>
          <cell r="B679">
            <v>25.39</v>
          </cell>
        </row>
        <row r="680">
          <cell r="A680" t="str">
            <v>10.08.2021</v>
          </cell>
          <cell r="B680">
            <v>25.38</v>
          </cell>
        </row>
        <row r="681">
          <cell r="A681" t="str">
            <v>11.08.2021</v>
          </cell>
          <cell r="B681">
            <v>25.405000000000001</v>
          </cell>
        </row>
        <row r="682">
          <cell r="A682" t="str">
            <v>12.08.2021</v>
          </cell>
          <cell r="B682">
            <v>25.4</v>
          </cell>
        </row>
        <row r="683">
          <cell r="A683" t="str">
            <v>13.08.2021</v>
          </cell>
          <cell r="B683">
            <v>25.385000000000002</v>
          </cell>
        </row>
        <row r="684">
          <cell r="A684" t="str">
            <v>16.08.2021</v>
          </cell>
          <cell r="B684">
            <v>25.425000000000001</v>
          </cell>
        </row>
        <row r="685">
          <cell r="A685" t="str">
            <v>17.08.2021</v>
          </cell>
          <cell r="B685">
            <v>25.44</v>
          </cell>
        </row>
        <row r="686">
          <cell r="A686" t="str">
            <v>18.08.2021</v>
          </cell>
          <cell r="B686">
            <v>25.44</v>
          </cell>
        </row>
        <row r="687">
          <cell r="A687" t="str">
            <v>19.08.2021</v>
          </cell>
          <cell r="B687">
            <v>25.5</v>
          </cell>
        </row>
        <row r="688">
          <cell r="A688" t="str">
            <v>20.08.2021</v>
          </cell>
          <cell r="B688">
            <v>25.555</v>
          </cell>
        </row>
        <row r="689">
          <cell r="A689" t="str">
            <v>23.08.2021</v>
          </cell>
          <cell r="B689">
            <v>25.515000000000001</v>
          </cell>
        </row>
        <row r="690">
          <cell r="A690" t="str">
            <v>24.08.2021</v>
          </cell>
          <cell r="B690">
            <v>25.524999999999999</v>
          </cell>
        </row>
        <row r="691">
          <cell r="A691" t="str">
            <v>25.08.2021</v>
          </cell>
          <cell r="B691">
            <v>25.53</v>
          </cell>
        </row>
        <row r="692">
          <cell r="A692" t="str">
            <v>26.08.2021</v>
          </cell>
          <cell r="B692">
            <v>25.545000000000002</v>
          </cell>
        </row>
        <row r="693">
          <cell r="A693" t="str">
            <v>27.08.2021</v>
          </cell>
          <cell r="B693">
            <v>25.56</v>
          </cell>
        </row>
        <row r="694">
          <cell r="A694" t="str">
            <v>30.08.2021</v>
          </cell>
          <cell r="B694">
            <v>25.565000000000001</v>
          </cell>
        </row>
        <row r="695">
          <cell r="A695" t="str">
            <v>31.08.2021</v>
          </cell>
          <cell r="B695">
            <v>25.524999999999999</v>
          </cell>
        </row>
        <row r="696">
          <cell r="A696" t="str">
            <v>01.09.2021</v>
          </cell>
          <cell r="B696">
            <v>25.41</v>
          </cell>
        </row>
        <row r="697">
          <cell r="A697" t="str">
            <v>02.09.2021</v>
          </cell>
          <cell r="B697">
            <v>25.38</v>
          </cell>
        </row>
        <row r="698">
          <cell r="A698" t="str">
            <v>03.09.2021</v>
          </cell>
          <cell r="B698">
            <v>25.42</v>
          </cell>
        </row>
        <row r="699">
          <cell r="A699" t="str">
            <v>06.09.2021</v>
          </cell>
          <cell r="B699">
            <v>25.4</v>
          </cell>
        </row>
        <row r="700">
          <cell r="A700" t="str">
            <v>07.09.2021</v>
          </cell>
          <cell r="B700">
            <v>25.42</v>
          </cell>
        </row>
        <row r="701">
          <cell r="A701" t="str">
            <v>08.09.2021</v>
          </cell>
          <cell r="B701">
            <v>25.395</v>
          </cell>
        </row>
        <row r="702">
          <cell r="A702" t="str">
            <v>09.09.2021</v>
          </cell>
          <cell r="B702">
            <v>25.4</v>
          </cell>
        </row>
        <row r="703">
          <cell r="A703" t="str">
            <v>10.09.2021</v>
          </cell>
          <cell r="B703">
            <v>25.29</v>
          </cell>
        </row>
        <row r="704">
          <cell r="A704" t="str">
            <v>13.09.2021</v>
          </cell>
          <cell r="B704">
            <v>25.35</v>
          </cell>
        </row>
        <row r="705">
          <cell r="A705" t="str">
            <v>14.09.2021</v>
          </cell>
          <cell r="B705">
            <v>25.39</v>
          </cell>
        </row>
        <row r="706">
          <cell r="A706" t="str">
            <v>15.09.2021</v>
          </cell>
          <cell r="B706">
            <v>25.32</v>
          </cell>
        </row>
        <row r="707">
          <cell r="A707" t="str">
            <v>16.09.2021</v>
          </cell>
          <cell r="B707">
            <v>25.28</v>
          </cell>
        </row>
        <row r="708">
          <cell r="A708" t="str">
            <v>17.09.2021</v>
          </cell>
          <cell r="B708">
            <v>25.295000000000002</v>
          </cell>
        </row>
        <row r="709">
          <cell r="A709" t="str">
            <v>20.09.2021</v>
          </cell>
          <cell r="B709">
            <v>25.43</v>
          </cell>
        </row>
        <row r="710">
          <cell r="A710" t="str">
            <v>21.09.2021</v>
          </cell>
          <cell r="B710">
            <v>25.405000000000001</v>
          </cell>
        </row>
        <row r="711">
          <cell r="A711" t="str">
            <v>22.09.2021</v>
          </cell>
          <cell r="B711">
            <v>25.38</v>
          </cell>
        </row>
        <row r="712">
          <cell r="A712" t="str">
            <v>23.09.2021</v>
          </cell>
          <cell r="B712">
            <v>25.355</v>
          </cell>
        </row>
        <row r="713">
          <cell r="A713" t="str">
            <v>24.09.2021</v>
          </cell>
          <cell r="B713">
            <v>25.41</v>
          </cell>
        </row>
        <row r="714">
          <cell r="A714" t="str">
            <v>27.09.2021</v>
          </cell>
          <cell r="B714">
            <v>25.445</v>
          </cell>
        </row>
        <row r="715">
          <cell r="A715" t="str">
            <v>29.09.2021</v>
          </cell>
          <cell r="B715">
            <v>25.454999999999998</v>
          </cell>
        </row>
        <row r="716">
          <cell r="A716" t="str">
            <v>30.09.2021</v>
          </cell>
          <cell r="B716">
            <v>25.495000000000001</v>
          </cell>
        </row>
        <row r="717">
          <cell r="A717" t="str">
            <v>01.10.2021</v>
          </cell>
          <cell r="B717">
            <v>25.31</v>
          </cell>
        </row>
        <row r="718">
          <cell r="A718" t="str">
            <v>04.10.2021</v>
          </cell>
          <cell r="B718">
            <v>25.32</v>
          </cell>
        </row>
        <row r="719">
          <cell r="A719" t="str">
            <v>05.10.2021</v>
          </cell>
          <cell r="B719">
            <v>25.31</v>
          </cell>
        </row>
        <row r="720">
          <cell r="A720" t="str">
            <v>06.10.2021</v>
          </cell>
          <cell r="B720">
            <v>25.414999999999999</v>
          </cell>
        </row>
        <row r="721">
          <cell r="A721" t="str">
            <v>07.10.2021</v>
          </cell>
          <cell r="B721">
            <v>25.41</v>
          </cell>
        </row>
        <row r="722">
          <cell r="A722" t="str">
            <v>08.10.2021</v>
          </cell>
          <cell r="B722">
            <v>25.434999999999999</v>
          </cell>
        </row>
        <row r="723">
          <cell r="A723" t="str">
            <v>11.10.2021</v>
          </cell>
          <cell r="B723">
            <v>25.4</v>
          </cell>
        </row>
        <row r="724">
          <cell r="A724" t="str">
            <v>12.10.2021</v>
          </cell>
          <cell r="B724">
            <v>25.375</v>
          </cell>
        </row>
        <row r="725">
          <cell r="A725" t="str">
            <v>13.10.2021</v>
          </cell>
          <cell r="B725">
            <v>25.37</v>
          </cell>
        </row>
        <row r="726">
          <cell r="A726" t="str">
            <v>14.10.2021</v>
          </cell>
          <cell r="B726">
            <v>25.385000000000002</v>
          </cell>
        </row>
        <row r="727">
          <cell r="A727" t="str">
            <v>15.10.2021</v>
          </cell>
          <cell r="B727">
            <v>25.405000000000001</v>
          </cell>
        </row>
        <row r="728">
          <cell r="A728" t="str">
            <v>18.10.2021</v>
          </cell>
          <cell r="B728">
            <v>25.45</v>
          </cell>
        </row>
        <row r="729">
          <cell r="A729" t="str">
            <v>19.10.2021</v>
          </cell>
          <cell r="B729">
            <v>25.504999999999999</v>
          </cell>
        </row>
        <row r="730">
          <cell r="A730" t="str">
            <v>20.10.2021</v>
          </cell>
          <cell r="B730">
            <v>25.52</v>
          </cell>
        </row>
        <row r="731">
          <cell r="A731" t="str">
            <v>21.10.2021</v>
          </cell>
          <cell r="B731">
            <v>25.614999999999998</v>
          </cell>
        </row>
        <row r="732">
          <cell r="A732" t="str">
            <v>22.10.2021</v>
          </cell>
          <cell r="B732">
            <v>25.655000000000001</v>
          </cell>
        </row>
        <row r="733">
          <cell r="A733" t="str">
            <v>25.10.2021</v>
          </cell>
          <cell r="B733">
            <v>25.734999999999999</v>
          </cell>
        </row>
        <row r="734">
          <cell r="A734" t="str">
            <v>26.10.2021</v>
          </cell>
          <cell r="B734">
            <v>25.7</v>
          </cell>
        </row>
        <row r="735">
          <cell r="A735" t="str">
            <v>27.10.2021</v>
          </cell>
          <cell r="B735">
            <v>25.684999999999999</v>
          </cell>
        </row>
        <row r="736">
          <cell r="A736" t="str">
            <v>29.10.2021</v>
          </cell>
          <cell r="B736">
            <v>25.695</v>
          </cell>
        </row>
        <row r="737">
          <cell r="A737">
            <v>44500</v>
          </cell>
          <cell r="B737">
            <v>25.695</v>
          </cell>
        </row>
        <row r="738">
          <cell r="A738" t="str">
            <v>01.11.2021</v>
          </cell>
          <cell r="B738">
            <v>25.635000000000002</v>
          </cell>
        </row>
        <row r="739">
          <cell r="A739" t="str">
            <v>02.11.2021</v>
          </cell>
          <cell r="B739">
            <v>25.57</v>
          </cell>
        </row>
        <row r="740">
          <cell r="A740" t="str">
            <v>03.11.2021</v>
          </cell>
          <cell r="B740">
            <v>25.545000000000002</v>
          </cell>
        </row>
        <row r="741">
          <cell r="A741" t="str">
            <v>04.11.2021</v>
          </cell>
          <cell r="B741">
            <v>25.48</v>
          </cell>
        </row>
        <row r="742">
          <cell r="A742" t="str">
            <v>05.11.2021</v>
          </cell>
          <cell r="B742">
            <v>25.274999999999999</v>
          </cell>
        </row>
        <row r="743">
          <cell r="A743" t="str">
            <v>08.11.2021</v>
          </cell>
          <cell r="B743">
            <v>25.25</v>
          </cell>
        </row>
        <row r="744">
          <cell r="A744" t="str">
            <v>09.11.2021</v>
          </cell>
          <cell r="B744">
            <v>25.195</v>
          </cell>
        </row>
        <row r="745">
          <cell r="A745" t="str">
            <v>10.11.2021</v>
          </cell>
          <cell r="B745">
            <v>25.21</v>
          </cell>
        </row>
        <row r="746">
          <cell r="A746" t="str">
            <v>11.11.2021</v>
          </cell>
          <cell r="B746">
            <v>25.254999999999999</v>
          </cell>
        </row>
        <row r="747">
          <cell r="A747" t="str">
            <v>12.11.2021</v>
          </cell>
          <cell r="B747">
            <v>25.24</v>
          </cell>
        </row>
        <row r="748">
          <cell r="A748" t="str">
            <v>15.11.2021</v>
          </cell>
          <cell r="B748">
            <v>25.215</v>
          </cell>
        </row>
        <row r="749">
          <cell r="A749" t="str">
            <v>16.11.2021</v>
          </cell>
          <cell r="B749">
            <v>25.23</v>
          </cell>
        </row>
        <row r="750">
          <cell r="A750" t="str">
            <v>18.11.2021</v>
          </cell>
          <cell r="B750">
            <v>25.23</v>
          </cell>
        </row>
        <row r="751">
          <cell r="A751" t="str">
            <v>19.11.2021</v>
          </cell>
          <cell r="B751">
            <v>25.414999999999999</v>
          </cell>
        </row>
        <row r="752">
          <cell r="A752" t="str">
            <v>22.11.2021</v>
          </cell>
          <cell r="B752">
            <v>25.375</v>
          </cell>
        </row>
        <row r="753">
          <cell r="A753" t="str">
            <v>23.11.2021</v>
          </cell>
          <cell r="B753">
            <v>25.445</v>
          </cell>
        </row>
        <row r="754">
          <cell r="A754" t="str">
            <v>24.11.2021</v>
          </cell>
          <cell r="B754">
            <v>25.5</v>
          </cell>
        </row>
        <row r="755">
          <cell r="A755" t="str">
            <v>25.11.2021</v>
          </cell>
          <cell r="B755">
            <v>25.475000000000001</v>
          </cell>
        </row>
        <row r="756">
          <cell r="A756" t="str">
            <v>26.11.2021</v>
          </cell>
          <cell r="B756">
            <v>25.664999999999999</v>
          </cell>
        </row>
        <row r="757">
          <cell r="A757" t="str">
            <v>29.11.2021</v>
          </cell>
          <cell r="B757">
            <v>25.67</v>
          </cell>
        </row>
        <row r="758">
          <cell r="A758" t="str">
            <v>30.11.2021</v>
          </cell>
          <cell r="B758">
            <v>25.524999999999999</v>
          </cell>
        </row>
        <row r="759">
          <cell r="A759" t="str">
            <v>01.12.2021</v>
          </cell>
          <cell r="B759">
            <v>25.445</v>
          </cell>
        </row>
        <row r="760">
          <cell r="A760" t="str">
            <v>02.12.2021</v>
          </cell>
          <cell r="B760">
            <v>25.42</v>
          </cell>
        </row>
        <row r="761">
          <cell r="A761" t="str">
            <v>03.12.2021</v>
          </cell>
          <cell r="B761">
            <v>25.414999999999999</v>
          </cell>
        </row>
        <row r="762">
          <cell r="A762" t="str">
            <v>06.12.2021</v>
          </cell>
          <cell r="B762">
            <v>25.42</v>
          </cell>
        </row>
        <row r="763">
          <cell r="A763" t="str">
            <v>07.12.2021</v>
          </cell>
          <cell r="B763">
            <v>25.465</v>
          </cell>
        </row>
        <row r="764">
          <cell r="A764" t="str">
            <v>08.12.2021</v>
          </cell>
          <cell r="B764">
            <v>25.475000000000001</v>
          </cell>
        </row>
        <row r="765">
          <cell r="A765" t="str">
            <v>09.12.2021</v>
          </cell>
          <cell r="B765">
            <v>25.434999999999999</v>
          </cell>
        </row>
        <row r="766">
          <cell r="A766" t="str">
            <v>10.12.2021</v>
          </cell>
          <cell r="B766">
            <v>25.364999999999998</v>
          </cell>
        </row>
        <row r="767">
          <cell r="A767" t="str">
            <v>13.12.2021</v>
          </cell>
          <cell r="B767">
            <v>25.405000000000001</v>
          </cell>
        </row>
        <row r="768">
          <cell r="A768" t="str">
            <v>14.12.2021</v>
          </cell>
          <cell r="B768">
            <v>25.335000000000001</v>
          </cell>
        </row>
        <row r="769">
          <cell r="A769" t="str">
            <v>15.12.2021</v>
          </cell>
          <cell r="B769">
            <v>25.27</v>
          </cell>
        </row>
        <row r="770">
          <cell r="A770" t="str">
            <v>16.12.2021</v>
          </cell>
          <cell r="B770">
            <v>25.28</v>
          </cell>
        </row>
        <row r="771">
          <cell r="A771" t="str">
            <v>17.12.2021</v>
          </cell>
          <cell r="B771">
            <v>25.26</v>
          </cell>
        </row>
        <row r="772">
          <cell r="A772" t="str">
            <v>20.12.2021</v>
          </cell>
          <cell r="B772">
            <v>25.234999999999999</v>
          </cell>
        </row>
        <row r="773">
          <cell r="A773" t="str">
            <v>21.12.2021</v>
          </cell>
          <cell r="B773">
            <v>25.24</v>
          </cell>
        </row>
        <row r="774">
          <cell r="A774" t="str">
            <v>22.12.2021</v>
          </cell>
          <cell r="B774">
            <v>25.245000000000001</v>
          </cell>
        </row>
        <row r="775">
          <cell r="A775" t="str">
            <v>23.12.2021</v>
          </cell>
          <cell r="B775">
            <v>25.085000000000001</v>
          </cell>
        </row>
        <row r="776">
          <cell r="A776" t="str">
            <v>27.12.2021</v>
          </cell>
          <cell r="B776">
            <v>25.14</v>
          </cell>
        </row>
        <row r="777">
          <cell r="A777" t="str">
            <v>28.12.2021</v>
          </cell>
          <cell r="B777">
            <v>24.98</v>
          </cell>
        </row>
        <row r="778">
          <cell r="A778" t="str">
            <v>29.12.2021</v>
          </cell>
          <cell r="B778">
            <v>24.96</v>
          </cell>
        </row>
        <row r="779">
          <cell r="A779" t="str">
            <v>30.12.2021</v>
          </cell>
          <cell r="B779">
            <v>24.914999999999999</v>
          </cell>
        </row>
        <row r="780">
          <cell r="A780" t="str">
            <v>31.12.2021</v>
          </cell>
          <cell r="B780">
            <v>24.86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7741A-9E13-450E-92F6-FEADF9A4DCA2}">
  <sheetPr codeName="List2">
    <tabColor rgb="FFFF0000"/>
  </sheetPr>
  <dimension ref="A1:N43"/>
  <sheetViews>
    <sheetView tabSelected="1" topLeftCell="A25" workbookViewId="0">
      <selection activeCell="J38" sqref="J38"/>
    </sheetView>
  </sheetViews>
  <sheetFormatPr defaultRowHeight="14.4" x14ac:dyDescent="0.3"/>
  <cols>
    <col min="1" max="1" width="10.109375" bestFit="1" customWidth="1"/>
    <col min="2" max="2" width="28.33203125" bestFit="1" customWidth="1"/>
    <col min="3" max="4" width="15.44140625" customWidth="1"/>
    <col min="5" max="8" width="16.44140625" style="65" customWidth="1"/>
    <col min="9" max="9" width="9.88671875" bestFit="1" customWidth="1"/>
    <col min="10" max="10" width="13.109375" style="395" bestFit="1" customWidth="1"/>
    <col min="12" max="12" width="13.44140625" bestFit="1" customWidth="1"/>
    <col min="13" max="13" width="12.33203125" bestFit="1" customWidth="1"/>
    <col min="14" max="14" width="13.109375" bestFit="1" customWidth="1"/>
  </cols>
  <sheetData>
    <row r="1" spans="1:14" ht="21" x14ac:dyDescent="0.3">
      <c r="A1" s="109" t="s">
        <v>785</v>
      </c>
      <c r="B1" s="108"/>
      <c r="C1" s="110" t="s">
        <v>786</v>
      </c>
      <c r="D1" s="108"/>
      <c r="E1" s="444"/>
      <c r="F1" s="444"/>
      <c r="G1" s="444"/>
      <c r="H1" s="394"/>
    </row>
    <row r="2" spans="1:14" ht="15" thickBot="1" x14ac:dyDescent="0.35">
      <c r="A2" s="115" t="s">
        <v>1558</v>
      </c>
      <c r="B2" s="112"/>
      <c r="C2" s="114" t="s">
        <v>787</v>
      </c>
      <c r="D2" s="112"/>
      <c r="E2" s="445" t="s">
        <v>1479</v>
      </c>
      <c r="F2" s="446"/>
      <c r="G2" s="446"/>
      <c r="H2" s="447" t="s">
        <v>788</v>
      </c>
    </row>
    <row r="3" spans="1:14" x14ac:dyDescent="0.3">
      <c r="A3" s="116" t="s">
        <v>789</v>
      </c>
      <c r="B3" s="116" t="s">
        <v>790</v>
      </c>
      <c r="C3" s="116" t="s">
        <v>1442</v>
      </c>
      <c r="D3" s="116" t="s">
        <v>792</v>
      </c>
      <c r="E3" s="448" t="s">
        <v>793</v>
      </c>
      <c r="F3" s="448" t="s">
        <v>794</v>
      </c>
      <c r="G3" s="448" t="s">
        <v>795</v>
      </c>
      <c r="H3" s="448" t="s">
        <v>796</v>
      </c>
      <c r="J3" s="396" t="s">
        <v>889</v>
      </c>
    </row>
    <row r="4" spans="1:14" x14ac:dyDescent="0.3">
      <c r="A4" s="337" t="s">
        <v>772</v>
      </c>
      <c r="B4" s="337" t="s">
        <v>797</v>
      </c>
      <c r="C4" s="393">
        <v>29836447.130000003</v>
      </c>
      <c r="D4" s="117">
        <v>0</v>
      </c>
      <c r="E4" s="449">
        <f>SUMIFS('jb IFRS'!$C$3:$C$1000,'jb IFRS'!$D$3:$D$1000,A4,'jb IFRS'!$O$3:$O$1000,A4)</f>
        <v>735855.8</v>
      </c>
      <c r="F4" s="449">
        <f>-SUMIFS('jb IFRS'!$C$3:$C$1000,'jb IFRS'!$D$3:$D$1000,A4,'jb IFRS'!$P$3:$P$1000,A4)</f>
        <v>0</v>
      </c>
      <c r="G4" s="393">
        <f>C4+E4</f>
        <v>30572302.930000003</v>
      </c>
      <c r="H4" s="393">
        <f>D4+F4</f>
        <v>0</v>
      </c>
      <c r="I4" s="65"/>
      <c r="J4" s="397">
        <f>C4+E4-F4</f>
        <v>30572302.930000003</v>
      </c>
      <c r="K4" t="s">
        <v>891</v>
      </c>
      <c r="L4" s="65">
        <f>'067'!AE65</f>
        <v>-30572302.926471025</v>
      </c>
      <c r="M4" s="398">
        <f>J4+L4</f>
        <v>3.5289786756038666E-3</v>
      </c>
      <c r="N4" s="398">
        <f>J4+J13</f>
        <v>30632775.540000003</v>
      </c>
    </row>
    <row r="5" spans="1:14" x14ac:dyDescent="0.3">
      <c r="A5" s="407" t="s">
        <v>1601</v>
      </c>
      <c r="B5" s="336" t="s">
        <v>1603</v>
      </c>
      <c r="C5" s="394">
        <v>-180510.51</v>
      </c>
      <c r="D5" s="111"/>
      <c r="E5" s="449">
        <f>SUMIFS('jb IFRS'!$C$3:$C$1000,'jb IFRS'!$D$3:$D$1000,A5,'jb IFRS'!$O$3:$O$1000,A5)</f>
        <v>0</v>
      </c>
      <c r="F5" s="449">
        <f>-SUMIFS('jb IFRS'!$C$3:$C$1000,'jb IFRS'!$D$3:$D$1000,A5,'jb IFRS'!$P$3:$P$1000,A5)</f>
        <v>0</v>
      </c>
      <c r="G5" s="393">
        <f>C5+E5</f>
        <v>-180510.51</v>
      </c>
      <c r="H5" s="393">
        <f>D5+F5</f>
        <v>0</v>
      </c>
      <c r="I5" s="65"/>
      <c r="J5" s="397">
        <f>C5+E5-F5</f>
        <v>-180510.51</v>
      </c>
      <c r="L5" s="65"/>
      <c r="M5" s="454"/>
      <c r="N5" s="454"/>
    </row>
    <row r="6" spans="1:14" x14ac:dyDescent="0.3">
      <c r="A6" s="336" t="s">
        <v>798</v>
      </c>
      <c r="B6" s="336" t="s">
        <v>799</v>
      </c>
      <c r="C6" s="394">
        <v>22.320393700787402</v>
      </c>
      <c r="D6" s="111">
        <v>0</v>
      </c>
      <c r="E6" s="449">
        <f>SUMIFS('jb IFRS'!$C$3:$C$1000,'jb IFRS'!$D$3:$D$1000,A6,'jb IFRS'!$O$3:$O$1000,A6)</f>
        <v>0</v>
      </c>
      <c r="F6" s="449">
        <f>-SUMIFS('jb IFRS'!$C$3:$C$1000,'jb IFRS'!$D$3:$D$1000,A6,'jb IFRS'!$P$3:$P$1000,A6)</f>
        <v>0</v>
      </c>
      <c r="G6" s="393">
        <f t="shared" ref="G6:G7" si="0">C6+E6</f>
        <v>22.320393700787402</v>
      </c>
      <c r="H6" s="393">
        <f t="shared" ref="H6:H7" si="1">D6+F6</f>
        <v>0</v>
      </c>
      <c r="J6" s="397">
        <f t="shared" ref="J6:J39" si="2">G6-H6</f>
        <v>22.320393700787402</v>
      </c>
      <c r="K6" t="s">
        <v>999</v>
      </c>
    </row>
    <row r="7" spans="1:14" x14ac:dyDescent="0.3">
      <c r="A7" s="336" t="s">
        <v>800</v>
      </c>
      <c r="B7" s="336" t="s">
        <v>801</v>
      </c>
      <c r="C7" s="394">
        <v>37085.560000003548</v>
      </c>
      <c r="D7" s="111">
        <v>0</v>
      </c>
      <c r="E7" s="449">
        <f>SUMIFS('jb IFRS'!$C$3:$C$1000,'jb IFRS'!$D$3:$D$1000,A7,'jb IFRS'!$O$3:$O$1000,A7)</f>
        <v>22697.760000000002</v>
      </c>
      <c r="F7" s="449">
        <f>-SUMIFS('jb IFRS'!$C$3:$C$1000,'jb IFRS'!$D$3:$D$1000,A7,'jb IFRS'!$P$3:$P$1000,A7)</f>
        <v>43928.319999999992</v>
      </c>
      <c r="G7" s="393">
        <f t="shared" si="0"/>
        <v>59783.32000000355</v>
      </c>
      <c r="H7" s="393">
        <f t="shared" si="1"/>
        <v>43928.319999999992</v>
      </c>
      <c r="J7" s="397">
        <f t="shared" si="2"/>
        <v>15855.000000003558</v>
      </c>
      <c r="K7" t="s">
        <v>1756</v>
      </c>
    </row>
    <row r="8" spans="1:14" x14ac:dyDescent="0.3">
      <c r="A8" s="336" t="s">
        <v>1041</v>
      </c>
      <c r="B8" s="336" t="s">
        <v>1265</v>
      </c>
      <c r="C8" s="394">
        <v>0</v>
      </c>
      <c r="D8" s="111">
        <v>0</v>
      </c>
      <c r="E8" s="449">
        <f>SUMIFS('jb IFRS'!$C$3:$C$1000,'jb IFRS'!$D$3:$D$1000,A8,'jb IFRS'!$O$3:$O$1000,A8)</f>
        <v>0</v>
      </c>
      <c r="F8" s="449">
        <f>-SUMIFS('jb IFRS'!$C$3:$C$1000,'jb IFRS'!$D$3:$D$1000,A8,'jb IFRS'!$P$3:$P$1000,A8)</f>
        <v>0</v>
      </c>
      <c r="G8" s="393">
        <f t="shared" ref="G8:H9" si="3">C8+E8</f>
        <v>0</v>
      </c>
      <c r="H8" s="393">
        <f t="shared" ref="H8:H39" si="4">D8+F8</f>
        <v>0</v>
      </c>
      <c r="J8" s="397">
        <f t="shared" si="2"/>
        <v>0</v>
      </c>
    </row>
    <row r="9" spans="1:14" x14ac:dyDescent="0.3">
      <c r="A9" s="336" t="s">
        <v>802</v>
      </c>
      <c r="B9" s="336" t="s">
        <v>803</v>
      </c>
      <c r="C9" s="394">
        <v>-13540.013817356179</v>
      </c>
      <c r="D9" s="111">
        <v>0</v>
      </c>
      <c r="E9" s="449">
        <f>SUMIFS('jb IFRS'!$C$3:$C$1000,'jb IFRS'!$D$3:$D$1000,A9,'jb IFRS'!$O$3:$O$1000,A9)</f>
        <v>37540.129999999997</v>
      </c>
      <c r="F9" s="449">
        <f>-SUMIFS('jb IFRS'!$C$3:$C$1000,'jb IFRS'!$D$3:$D$1000,A9,'jb IFRS'!$P$3:$P$1000,A9)</f>
        <v>23948.628986921336</v>
      </c>
      <c r="G9" s="393">
        <f t="shared" si="3"/>
        <v>24000.116182643818</v>
      </c>
      <c r="H9" s="393">
        <f t="shared" si="3"/>
        <v>23948.628986921336</v>
      </c>
      <c r="J9" s="397">
        <f t="shared" si="2"/>
        <v>51.487195722482284</v>
      </c>
      <c r="K9" t="s">
        <v>1452</v>
      </c>
      <c r="L9" s="65">
        <f>'přecenění IFRS'!C8</f>
        <v>-13375.019976028765</v>
      </c>
    </row>
    <row r="10" spans="1:14" x14ac:dyDescent="0.3">
      <c r="A10" s="336" t="s">
        <v>1009</v>
      </c>
      <c r="B10" s="336" t="s">
        <v>1013</v>
      </c>
      <c r="C10" s="394">
        <v>30775.737663233405</v>
      </c>
      <c r="D10" s="111">
        <v>0</v>
      </c>
      <c r="E10" s="449">
        <f>SUMIFS('jb IFRS'!$C$3:$C$1000,'jb IFRS'!$D$3:$D$1000,A10,'jb IFRS'!$O$3:$O$1000,A10)</f>
        <v>5646.6399999999994</v>
      </c>
      <c r="F10" s="449">
        <f>-SUMIFS('jb IFRS'!$C$3:$C$1000,'jb IFRS'!$D$3:$D$1000,A10,'jb IFRS'!$P$3:$P$1000,A10)</f>
        <v>220.14</v>
      </c>
      <c r="G10" s="393">
        <f t="shared" ref="G10" si="5">C10+E10</f>
        <v>36422.377663233405</v>
      </c>
      <c r="H10" s="393">
        <f t="shared" ref="H10" si="6">D10+F10</f>
        <v>220.14</v>
      </c>
      <c r="J10" s="397">
        <f t="shared" si="2"/>
        <v>36202.237663233405</v>
      </c>
      <c r="L10" s="128">
        <f>'přecenění IFRS'!C25</f>
        <v>35816.070315621255</v>
      </c>
    </row>
    <row r="11" spans="1:14" x14ac:dyDescent="0.3">
      <c r="A11" s="121" t="s">
        <v>1497</v>
      </c>
      <c r="B11" s="121" t="s">
        <v>1523</v>
      </c>
      <c r="C11" s="394">
        <v>-443.47532663685018</v>
      </c>
      <c r="D11" s="111">
        <v>0</v>
      </c>
      <c r="E11" s="449">
        <f>SUMIFS('jb IFRS'!$C$3:$C$1000,'jb IFRS'!$D$3:$D$1000,A11,'jb IFRS'!$O$3:$O$1000,A11)</f>
        <v>458.72999999999996</v>
      </c>
      <c r="F11" s="449">
        <f>-SUMIFS('jb IFRS'!$C$3:$C$1000,'jb IFRS'!$D$3:$D$1000,A11,'jb IFRS'!$P$3:$P$1000,A11)</f>
        <v>0</v>
      </c>
      <c r="G11" s="393">
        <f t="shared" ref="G11" si="7">C11+E11</f>
        <v>15.254673363149777</v>
      </c>
      <c r="H11" s="393">
        <f t="shared" ref="H11" si="8">D11+F11</f>
        <v>0</v>
      </c>
      <c r="J11" s="397">
        <f t="shared" si="2"/>
        <v>15.254673363149777</v>
      </c>
      <c r="K11" t="s">
        <v>1521</v>
      </c>
      <c r="L11" s="128"/>
    </row>
    <row r="12" spans="1:14" x14ac:dyDescent="0.3">
      <c r="A12" s="336" t="s">
        <v>806</v>
      </c>
      <c r="B12" s="336" t="s">
        <v>807</v>
      </c>
      <c r="C12" s="394">
        <v>0</v>
      </c>
      <c r="D12" s="111">
        <v>0</v>
      </c>
      <c r="E12" s="449">
        <f>SUMIFS('jb IFRS'!$C$3:$C$1000,'jb IFRS'!$D$3:$D$1000,A12,'jb IFRS'!$O$3:$O$1000,A12)</f>
        <v>0</v>
      </c>
      <c r="F12" s="449">
        <f>-SUMIFS('jb IFRS'!$C$3:$C$1000,'jb IFRS'!$D$3:$D$1000,A12,'jb IFRS'!$P$3:$P$1000,A12)</f>
        <v>0</v>
      </c>
      <c r="G12" s="393">
        <f t="shared" ref="G12:G17" si="9">C12+E12</f>
        <v>0</v>
      </c>
      <c r="H12" s="393">
        <f t="shared" ref="H12:H17" si="10">D12+F12</f>
        <v>0</v>
      </c>
      <c r="J12" s="397">
        <f t="shared" si="2"/>
        <v>0</v>
      </c>
    </row>
    <row r="13" spans="1:14" x14ac:dyDescent="0.3">
      <c r="A13" s="336" t="s">
        <v>808</v>
      </c>
      <c r="B13" s="336" t="s">
        <v>1438</v>
      </c>
      <c r="C13" s="394">
        <v>83157.539999999572</v>
      </c>
      <c r="D13" s="111">
        <v>0</v>
      </c>
      <c r="E13" s="449">
        <f>SUMIFS('jb IFRS'!$C$3:$C$1000,'jb IFRS'!$D$3:$D$1000,A13,'jb IFRS'!$O$3:$O$1000,A13)</f>
        <v>0</v>
      </c>
      <c r="F13" s="449">
        <f>-SUMIFS('jb IFRS'!$C$3:$C$1000,'jb IFRS'!$D$3:$D$1000,A13,'jb IFRS'!$P$3:$P$1000,A13)</f>
        <v>22684.93</v>
      </c>
      <c r="G13" s="393">
        <f t="shared" si="9"/>
        <v>83157.539999999572</v>
      </c>
      <c r="H13" s="393">
        <f t="shared" si="10"/>
        <v>22684.93</v>
      </c>
      <c r="J13" s="397">
        <f t="shared" si="2"/>
        <v>60472.609999999571</v>
      </c>
      <c r="K13" t="s">
        <v>1534</v>
      </c>
      <c r="M13" s="454"/>
      <c r="N13" t="s">
        <v>1522</v>
      </c>
    </row>
    <row r="14" spans="1:14" x14ac:dyDescent="0.3">
      <c r="A14" s="336" t="s">
        <v>1434</v>
      </c>
      <c r="B14" s="336" t="s">
        <v>1439</v>
      </c>
      <c r="C14" s="394">
        <v>4.9931695943996601E-3</v>
      </c>
      <c r="D14" s="111"/>
      <c r="E14" s="449">
        <f>SUMIFS('jb IFRS'!$C$3:$C$1000,'jb IFRS'!$D$3:$D$1000,A14,'jb IFRS'!$O$3:$O$1000,A14)</f>
        <v>0</v>
      </c>
      <c r="F14" s="449">
        <f>-SUMIFS('jb IFRS'!$C$3:$C$1000,'jb IFRS'!$D$3:$D$1000,A14,'jb IFRS'!$P$3:$P$1000,A14)</f>
        <v>0</v>
      </c>
      <c r="G14" s="393">
        <f t="shared" si="9"/>
        <v>4.9931695943996601E-3</v>
      </c>
      <c r="H14" s="393">
        <f t="shared" si="10"/>
        <v>0</v>
      </c>
      <c r="J14" s="397">
        <f t="shared" si="2"/>
        <v>4.9931695943996601E-3</v>
      </c>
      <c r="K14" t="s">
        <v>1588</v>
      </c>
    </row>
    <row r="15" spans="1:14" x14ac:dyDescent="0.3">
      <c r="A15" s="336" t="s">
        <v>810</v>
      </c>
      <c r="B15" s="336" t="s">
        <v>811</v>
      </c>
      <c r="C15" s="394">
        <v>-17652.878374638942</v>
      </c>
      <c r="D15" s="111">
        <v>0</v>
      </c>
      <c r="E15" s="449">
        <f>SUMIFS('jb IFRS'!$C$3:$C$1000,'jb IFRS'!$D$3:$D$1000,A15,'jb IFRS'!$O$3:$O$1000,A15)</f>
        <v>0</v>
      </c>
      <c r="F15" s="449">
        <f>-SUMIFS('jb IFRS'!$C$3:$C$1000,'jb IFRS'!$D$3:$D$1000,A15,'jb IFRS'!$P$3:$P$1000,A15)</f>
        <v>-13154.62</v>
      </c>
      <c r="G15" s="393">
        <f t="shared" si="9"/>
        <v>-17652.878374638942</v>
      </c>
      <c r="H15" s="393">
        <f t="shared" si="10"/>
        <v>-13154.62</v>
      </c>
      <c r="J15" s="397">
        <f t="shared" si="2"/>
        <v>-4498.2583746389409</v>
      </c>
      <c r="K15" t="s">
        <v>1456</v>
      </c>
    </row>
    <row r="16" spans="1:14" x14ac:dyDescent="0.3">
      <c r="A16" s="336" t="s">
        <v>812</v>
      </c>
      <c r="B16" s="336" t="s">
        <v>813</v>
      </c>
      <c r="C16" s="65">
        <v>0</v>
      </c>
      <c r="D16" s="111">
        <v>0</v>
      </c>
      <c r="E16" s="449">
        <f>SUMIFS('jb IFRS'!$C$3:$C$1000,'jb IFRS'!$D$3:$D$1000,A16,'jb IFRS'!$O$3:$O$1000,A16)</f>
        <v>0</v>
      </c>
      <c r="F16" s="449">
        <f>-SUMIFS('jb IFRS'!$C$3:$C$1000,'jb IFRS'!$D$3:$D$1000,A16,'jb IFRS'!$P$3:$P$1000,A16)</f>
        <v>0</v>
      </c>
      <c r="G16" s="393">
        <f t="shared" si="9"/>
        <v>0</v>
      </c>
      <c r="H16" s="393">
        <f t="shared" si="10"/>
        <v>0</v>
      </c>
      <c r="J16" s="397">
        <f t="shared" si="2"/>
        <v>0</v>
      </c>
    </row>
    <row r="17" spans="1:14" x14ac:dyDescent="0.3">
      <c r="A17" s="336" t="s">
        <v>814</v>
      </c>
      <c r="B17" s="336" t="s">
        <v>815</v>
      </c>
      <c r="C17" s="394">
        <v>-22.320393700787402</v>
      </c>
      <c r="D17" s="111">
        <v>0</v>
      </c>
      <c r="E17" s="449">
        <f>SUMIFS('jb IFRS'!$C$3:$C$1000,'jb IFRS'!$D$3:$D$1000,A17,'jb IFRS'!$O$3:$O$1000,A17)</f>
        <v>0</v>
      </c>
      <c r="F17" s="449">
        <f>-SUMIFS('jb IFRS'!$C$3:$C$1000,'jb IFRS'!$D$3:$D$1000,A17,'jb IFRS'!$P$3:$P$1000,A17)</f>
        <v>0</v>
      </c>
      <c r="G17" s="393">
        <f t="shared" si="9"/>
        <v>-22.320393700787402</v>
      </c>
      <c r="H17" s="393">
        <f t="shared" si="10"/>
        <v>0</v>
      </c>
      <c r="J17" s="397">
        <f t="shared" si="2"/>
        <v>-22.320393700787402</v>
      </c>
      <c r="K17" t="s">
        <v>1521</v>
      </c>
    </row>
    <row r="18" spans="1:14" x14ac:dyDescent="0.3">
      <c r="A18" s="336" t="s">
        <v>1437</v>
      </c>
      <c r="B18" s="336" t="s">
        <v>1440</v>
      </c>
      <c r="C18" s="394">
        <v>153489.81999999998</v>
      </c>
      <c r="D18" s="111"/>
      <c r="E18" s="449">
        <f>SUMIFS('jb IFRS'!$C$3:$C$1000,'jb IFRS'!$D$3:$D$1000,A18,'jb IFRS'!$O$3:$O$1000,A18)</f>
        <v>0</v>
      </c>
      <c r="F18" s="449">
        <f>-SUMIFS('jb IFRS'!$C$3:$C$1000,'jb IFRS'!$D$3:$D$1000,A18,'jb IFRS'!$P$3:$P$1000,A18)</f>
        <v>0</v>
      </c>
      <c r="G18" s="393">
        <f t="shared" ref="G18:G39" si="11">C18+E18</f>
        <v>153489.81999999998</v>
      </c>
      <c r="H18" s="393">
        <f t="shared" si="4"/>
        <v>0</v>
      </c>
      <c r="J18" s="397">
        <f t="shared" si="2"/>
        <v>153489.81999999998</v>
      </c>
    </row>
    <row r="19" spans="1:14" x14ac:dyDescent="0.3">
      <c r="A19" s="336" t="s">
        <v>1436</v>
      </c>
      <c r="B19" s="336" t="s">
        <v>1044</v>
      </c>
      <c r="C19" s="394">
        <v>39531.513497249267</v>
      </c>
      <c r="D19" s="111"/>
      <c r="E19" s="449">
        <f>SUMIFS('jb IFRS'!$C$3:$C$1000,'jb IFRS'!$D$3:$D$1000,A19,'jb IFRS'!$O$3:$O$1000,A19)</f>
        <v>0</v>
      </c>
      <c r="F19" s="449">
        <f>-SUMIFS('jb IFRS'!$C$3:$C$1000,'jb IFRS'!$D$3:$D$1000,A19,'jb IFRS'!$P$3:$P$1000,A19)</f>
        <v>0</v>
      </c>
      <c r="G19" s="393">
        <f t="shared" si="11"/>
        <v>39531.513497249267</v>
      </c>
      <c r="H19" s="393">
        <f t="shared" si="4"/>
        <v>0</v>
      </c>
      <c r="J19" s="397">
        <f t="shared" si="2"/>
        <v>39531.513497249267</v>
      </c>
      <c r="K19" t="s">
        <v>1593</v>
      </c>
    </row>
    <row r="20" spans="1:14" x14ac:dyDescent="0.3">
      <c r="A20" s="336" t="s">
        <v>816</v>
      </c>
      <c r="B20" s="336" t="s">
        <v>817</v>
      </c>
      <c r="C20" s="394">
        <v>-30000000</v>
      </c>
      <c r="D20" s="111">
        <v>0</v>
      </c>
      <c r="E20" s="449">
        <f>SUMIFS('jb IFRS'!$C$3:$C$1000,'jb IFRS'!$D$3:$D$1000,A20,'jb IFRS'!$O$3:$O$1000,A20)</f>
        <v>0</v>
      </c>
      <c r="F20" s="449">
        <f>-SUMIFS('jb IFRS'!$C$3:$C$1000,'jb IFRS'!$D$3:$D$1000,A20,'jb IFRS'!$P$3:$P$1000,A20)</f>
        <v>0</v>
      </c>
      <c r="G20" s="393">
        <f t="shared" si="11"/>
        <v>-30000000</v>
      </c>
      <c r="H20" s="393">
        <f t="shared" si="4"/>
        <v>0</v>
      </c>
      <c r="J20" s="397">
        <f t="shared" si="2"/>
        <v>-30000000</v>
      </c>
      <c r="K20" t="s">
        <v>892</v>
      </c>
      <c r="L20" s="65">
        <f>-'473-SB'!D19</f>
        <v>-30000000</v>
      </c>
      <c r="N20" s="65">
        <f>SUM(J20:J23)</f>
        <v>-30696815.307990488</v>
      </c>
    </row>
    <row r="21" spans="1:14" x14ac:dyDescent="0.3">
      <c r="A21" s="336" t="s">
        <v>818</v>
      </c>
      <c r="B21" s="336" t="s">
        <v>819</v>
      </c>
      <c r="C21" s="394">
        <v>-266317.32999999984</v>
      </c>
      <c r="D21" s="111">
        <v>0</v>
      </c>
      <c r="E21" s="449">
        <f>SUMIFS('jb IFRS'!$C$3:$C$1000,'jb IFRS'!$D$3:$D$1000,A21,'jb IFRS'!$O$3:$O$1000,A21)</f>
        <v>0</v>
      </c>
      <c r="F21" s="449">
        <f>-SUMIFS('jb IFRS'!$C$3:$C$1000,'jb IFRS'!$D$3:$D$1000,A21,'jb IFRS'!$P$3:$P$1000,A21)</f>
        <v>694911.89</v>
      </c>
      <c r="G21" s="393">
        <f t="shared" si="11"/>
        <v>-266317.32999999984</v>
      </c>
      <c r="H21" s="393">
        <f t="shared" si="4"/>
        <v>694911.89</v>
      </c>
      <c r="J21" s="397">
        <f t="shared" si="2"/>
        <v>-961229.21999999986</v>
      </c>
      <c r="K21" t="s">
        <v>892</v>
      </c>
      <c r="L21" s="65">
        <f>-SUM('473-SB'!F45:F78)-'473-SB'!G57-'473-SB'!G70</f>
        <v>-961229.20255395398</v>
      </c>
      <c r="N21" s="65">
        <f>-'473-SB'!H72</f>
        <v>-30001903.401652109</v>
      </c>
    </row>
    <row r="22" spans="1:14" x14ac:dyDescent="0.3">
      <c r="A22" s="336" t="s">
        <v>820</v>
      </c>
      <c r="B22" s="336" t="s">
        <v>821</v>
      </c>
      <c r="C22" s="394">
        <v>-101100</v>
      </c>
      <c r="D22" s="111">
        <v>0</v>
      </c>
      <c r="E22" s="449">
        <f>SUMIFS('jb IFRS'!$C$3:$C$1000,'jb IFRS'!$D$3:$D$1000,A22,'jb IFRS'!$O$3:$O$1000,A22)</f>
        <v>0</v>
      </c>
      <c r="F22" s="449">
        <f>-SUMIFS('jb IFRS'!$C$3:$C$1000,'jb IFRS'!$D$3:$D$1000,A22,'jb IFRS'!$P$3:$P$1000,A22)</f>
        <v>0</v>
      </c>
      <c r="G22" s="393">
        <f t="shared" si="11"/>
        <v>-101100</v>
      </c>
      <c r="H22" s="393">
        <f t="shared" si="4"/>
        <v>0</v>
      </c>
      <c r="J22" s="397">
        <f t="shared" si="2"/>
        <v>-101100</v>
      </c>
      <c r="K22" t="s">
        <v>892</v>
      </c>
      <c r="L22" s="65">
        <f>-'473-SB'!F11</f>
        <v>-101100.00000000373</v>
      </c>
    </row>
    <row r="23" spans="1:14" x14ac:dyDescent="0.3">
      <c r="A23" s="336" t="s">
        <v>822</v>
      </c>
      <c r="B23" s="336" t="s">
        <v>823</v>
      </c>
      <c r="C23" s="394">
        <v>365513.91200951248</v>
      </c>
      <c r="D23" s="111">
        <v>0</v>
      </c>
      <c r="E23" s="449">
        <f>SUMIFS('jb IFRS'!$C$3:$C$1000,'jb IFRS'!$D$3:$D$1000,A23,'jb IFRS'!$O$3:$O$1000,A23)</f>
        <v>0</v>
      </c>
      <c r="F23" s="449">
        <f>-SUMIFS('jb IFRS'!$C$3:$C$1000,'jb IFRS'!$D$3:$D$1000,A23,'jb IFRS'!$P$3:$P$1000,A23)</f>
        <v>0</v>
      </c>
      <c r="G23" s="393">
        <f t="shared" si="11"/>
        <v>365513.91200951248</v>
      </c>
      <c r="H23" s="393">
        <f t="shared" si="4"/>
        <v>0</v>
      </c>
      <c r="J23" s="397">
        <f t="shared" si="2"/>
        <v>365513.91200951248</v>
      </c>
      <c r="K23" t="s">
        <v>892</v>
      </c>
      <c r="L23" s="65">
        <f>'473-SB'!D29+'473-SB'!D30+'473-SB'!D31</f>
        <v>365513.91200951248</v>
      </c>
    </row>
    <row r="24" spans="1:14" x14ac:dyDescent="0.3">
      <c r="A24" s="336" t="s">
        <v>1001</v>
      </c>
      <c r="B24" s="336" t="s">
        <v>1003</v>
      </c>
      <c r="C24" s="394">
        <v>33562.99</v>
      </c>
      <c r="D24" s="111">
        <v>0</v>
      </c>
      <c r="E24" s="449">
        <f>SUMIFS('jb IFRS'!$C$3:$C$1000,'jb IFRS'!$D$3:$D$1000,A24,'jb IFRS'!$O$3:$O$1000,A24)</f>
        <v>0</v>
      </c>
      <c r="F24" s="449">
        <f>-SUMIFS('jb IFRS'!$C$3:$C$1000,'jb IFRS'!$D$3:$D$1000,A24,'jb IFRS'!$P$3:$P$1000,A24)</f>
        <v>5971.17</v>
      </c>
      <c r="G24" s="393">
        <f t="shared" si="11"/>
        <v>33562.99</v>
      </c>
      <c r="H24" s="393">
        <f t="shared" si="4"/>
        <v>5971.17</v>
      </c>
      <c r="J24" s="397">
        <f t="shared" si="2"/>
        <v>27591.82</v>
      </c>
      <c r="K24" t="s">
        <v>1005</v>
      </c>
      <c r="L24" s="65"/>
    </row>
    <row r="25" spans="1:14" x14ac:dyDescent="0.3">
      <c r="A25" s="336" t="s">
        <v>1435</v>
      </c>
      <c r="B25" s="336" t="s">
        <v>1441</v>
      </c>
      <c r="C25" s="111"/>
      <c r="D25" s="111"/>
      <c r="E25" s="449">
        <f>SUMIFS('jb IFRS'!$C$3:$C$1000,'jb IFRS'!$D$3:$D$1000,A25,'jb IFRS'!$O$3:$O$1000,A25)</f>
        <v>0</v>
      </c>
      <c r="F25" s="449">
        <f>-SUMIFS('jb IFRS'!$C$3:$C$1000,'jb IFRS'!$D$3:$D$1000,A25,'jb IFRS'!$P$3:$P$1000,A25)</f>
        <v>0</v>
      </c>
      <c r="G25" s="393">
        <f t="shared" si="11"/>
        <v>0</v>
      </c>
      <c r="H25" s="393">
        <f t="shared" si="4"/>
        <v>0</v>
      </c>
      <c r="J25" s="397">
        <f t="shared" si="2"/>
        <v>0</v>
      </c>
      <c r="L25" s="65"/>
    </row>
    <row r="26" spans="1:14" x14ac:dyDescent="0.3">
      <c r="A26" s="336" t="s">
        <v>824</v>
      </c>
      <c r="B26" s="336" t="s">
        <v>825</v>
      </c>
      <c r="C26" s="111"/>
      <c r="D26" s="111">
        <v>0</v>
      </c>
      <c r="E26" s="449">
        <f>SUMIFS('jb IFRS'!$C$3:$C$1000,'jb IFRS'!$D$3:$D$1000,A26,'jb IFRS'!$O$3:$O$1000,A26)</f>
        <v>403.87722132471725</v>
      </c>
      <c r="F26" s="449">
        <f>-SUMIFS('jb IFRS'!$C$3:$C$1000,'jb IFRS'!$D$3:$D$1000,A26,'jb IFRS'!$P$3:$P$1000,A26)</f>
        <v>0</v>
      </c>
      <c r="G26" s="393">
        <f t="shared" si="11"/>
        <v>403.87722132471725</v>
      </c>
      <c r="H26" s="393">
        <f t="shared" si="4"/>
        <v>0</v>
      </c>
      <c r="J26" s="397">
        <f t="shared" si="2"/>
        <v>403.87722132471725</v>
      </c>
    </row>
    <row r="27" spans="1:14" x14ac:dyDescent="0.3">
      <c r="A27" s="336" t="s">
        <v>826</v>
      </c>
      <c r="B27" s="336" t="s">
        <v>827</v>
      </c>
      <c r="C27" s="111"/>
      <c r="D27" s="111">
        <v>0</v>
      </c>
      <c r="E27" s="449">
        <f>SUMIFS('jb IFRS'!$C$3:$C$1000,'jb IFRS'!$D$3:$D$1000,A27,'jb IFRS'!$O$3:$O$1000,A27)</f>
        <v>10266.565885101583</v>
      </c>
      <c r="F27" s="449">
        <f>-SUMIFS('jb IFRS'!$C$3:$C$1000,'jb IFRS'!$D$3:$D$1000,A27,'jb IFRS'!$P$3:$P$1000,A27)</f>
        <v>0</v>
      </c>
      <c r="G27" s="393">
        <f t="shared" si="11"/>
        <v>10266.565885101583</v>
      </c>
      <c r="H27" s="393">
        <f t="shared" si="4"/>
        <v>0</v>
      </c>
      <c r="J27" s="397">
        <f t="shared" si="2"/>
        <v>10266.565885101583</v>
      </c>
    </row>
    <row r="28" spans="1:14" x14ac:dyDescent="0.3">
      <c r="A28" s="336" t="s">
        <v>1000</v>
      </c>
      <c r="B28" s="336" t="s">
        <v>998</v>
      </c>
      <c r="C28" s="111"/>
      <c r="D28" s="111">
        <v>0</v>
      </c>
      <c r="E28" s="449">
        <f>SUMIFS('jb IFRS'!$C$3:$C$1000,'jb IFRS'!$D$3:$D$1000,A28,'jb IFRS'!$O$3:$O$1000,A28)</f>
        <v>123.56588049503625</v>
      </c>
      <c r="F28" s="449">
        <f>-SUMIFS('jb IFRS'!$C$3:$C$1000,'jb IFRS'!$D$3:$D$1000,A28,'jb IFRS'!$P$3:$P$1000,A28)</f>
        <v>0</v>
      </c>
      <c r="G28" s="393">
        <f t="shared" si="11"/>
        <v>123.56588049503625</v>
      </c>
      <c r="H28" s="393">
        <f t="shared" si="4"/>
        <v>0</v>
      </c>
      <c r="J28" s="397">
        <f t="shared" si="2"/>
        <v>123.56588049503625</v>
      </c>
    </row>
    <row r="29" spans="1:14" x14ac:dyDescent="0.3">
      <c r="A29" s="336" t="s">
        <v>924</v>
      </c>
      <c r="B29" s="336" t="s">
        <v>930</v>
      </c>
      <c r="C29" s="111"/>
      <c r="D29" s="111"/>
      <c r="E29" s="449">
        <f>SUMIFS('jb IFRS'!$C$3:$C$1000,'jb IFRS'!$D$3:$D$1000,A29,'jb IFRS'!$O$3:$O$1000,A29)</f>
        <v>0</v>
      </c>
      <c r="F29" s="449">
        <f>-SUMIFS('jb IFRS'!$C$3:$C$1000,'jb IFRS'!$D$3:$D$1000,A29,'jb IFRS'!$P$3:$P$1000,A29)</f>
        <v>0</v>
      </c>
      <c r="G29" s="393">
        <f t="shared" si="11"/>
        <v>0</v>
      </c>
      <c r="H29" s="393">
        <f t="shared" si="4"/>
        <v>0</v>
      </c>
      <c r="J29" s="397">
        <f t="shared" si="2"/>
        <v>0</v>
      </c>
    </row>
    <row r="30" spans="1:14" x14ac:dyDescent="0.3">
      <c r="A30" s="336" t="s">
        <v>1042</v>
      </c>
      <c r="B30" s="336" t="s">
        <v>1043</v>
      </c>
      <c r="C30" s="111"/>
      <c r="D30" s="111"/>
      <c r="E30" s="449">
        <f>SUMIFS('jb IFRS'!$C$3:$C$1000,'jb IFRS'!$D$3:$D$1000,A30,'jb IFRS'!$O$3:$O$1000,A30)</f>
        <v>0</v>
      </c>
      <c r="F30" s="449">
        <f>-SUMIFS('jb IFRS'!$C$3:$C$1000,'jb IFRS'!$D$3:$D$1000,A30,'jb IFRS'!$P$3:$P$1000,A30)</f>
        <v>0</v>
      </c>
      <c r="G30" s="393">
        <f t="shared" si="11"/>
        <v>0</v>
      </c>
      <c r="H30" s="393">
        <f t="shared" si="4"/>
        <v>0</v>
      </c>
      <c r="J30" s="397">
        <f t="shared" si="2"/>
        <v>0</v>
      </c>
    </row>
    <row r="31" spans="1:14" x14ac:dyDescent="0.3">
      <c r="A31" s="121" t="s">
        <v>1498</v>
      </c>
      <c r="B31" s="121" t="s">
        <v>1575</v>
      </c>
      <c r="C31" s="111"/>
      <c r="D31" s="111"/>
      <c r="E31" s="449">
        <f>SUMIFS('jb IFRS'!$C$3:$C$1000,'jb IFRS'!$D$3:$D$1000,A31,'jb IFRS'!$O$3:$O$1000,A31)</f>
        <v>0</v>
      </c>
      <c r="F31" s="449">
        <f>-SUMIFS('jb IFRS'!$C$3:$C$1000,'jb IFRS'!$D$3:$D$1000,A31,'jb IFRS'!$P$3:$P$1000,A31)</f>
        <v>0</v>
      </c>
      <c r="G31" s="393">
        <f t="shared" ref="G31" si="12">C31+E31</f>
        <v>0</v>
      </c>
      <c r="H31" s="393">
        <f t="shared" ref="H31" si="13">D31+F31</f>
        <v>0</v>
      </c>
      <c r="J31" s="397">
        <f t="shared" si="2"/>
        <v>0</v>
      </c>
    </row>
    <row r="32" spans="1:14" x14ac:dyDescent="0.3">
      <c r="A32" s="407" t="s">
        <v>1602</v>
      </c>
      <c r="B32" s="121" t="s">
        <v>1604</v>
      </c>
      <c r="C32" s="111"/>
      <c r="D32" s="111"/>
      <c r="E32" s="449">
        <f>SUMIFS('jb IFRS'!$C$3:$C$1000,'jb IFRS'!$D$3:$D$1000,A32,'jb IFRS'!$O$3:$O$1000,A32)</f>
        <v>0</v>
      </c>
      <c r="F32" s="449">
        <f>-SUMIFS('jb IFRS'!$C$3:$C$1000,'jb IFRS'!$D$3:$D$1000,A32,'jb IFRS'!$P$3:$P$1000,A32)</f>
        <v>0</v>
      </c>
      <c r="G32" s="393">
        <f t="shared" ref="G32" si="14">C32+E32</f>
        <v>0</v>
      </c>
      <c r="H32" s="393">
        <f t="shared" ref="H32" si="15">D32+F32</f>
        <v>0</v>
      </c>
      <c r="J32" s="397">
        <f t="shared" si="2"/>
        <v>0</v>
      </c>
    </row>
    <row r="33" spans="1:13" x14ac:dyDescent="0.3">
      <c r="A33" s="336" t="s">
        <v>828</v>
      </c>
      <c r="B33" s="336" t="s">
        <v>829</v>
      </c>
      <c r="C33" s="111"/>
      <c r="D33" s="111">
        <v>0</v>
      </c>
      <c r="E33" s="449">
        <f>SUMIFS('jb IFRS'!$C$3:$C$1000,'jb IFRS'!$D$3:$D$1000,A33,'jb IFRS'!$O$3:$O$1000,A33)</f>
        <v>694911.89</v>
      </c>
      <c r="F33" s="449">
        <f>-SUMIFS('jb IFRS'!$C$3:$C$1000,'jb IFRS'!$D$3:$D$1000,A33,'jb IFRS'!$P$3:$P$1000,A33)</f>
        <v>0</v>
      </c>
      <c r="G33" s="393">
        <f t="shared" si="11"/>
        <v>694911.89</v>
      </c>
      <c r="H33" s="393">
        <f t="shared" si="4"/>
        <v>0</v>
      </c>
      <c r="J33" s="397">
        <f t="shared" si="2"/>
        <v>694911.89</v>
      </c>
      <c r="K33" t="s">
        <v>892</v>
      </c>
      <c r="L33" s="128">
        <f>SUM('473-SB'!F73:F78)</f>
        <v>694911.88889233768</v>
      </c>
      <c r="M33" s="65">
        <f>J33-L33</f>
        <v>1.1076623341068625E-3</v>
      </c>
    </row>
    <row r="34" spans="1:13" x14ac:dyDescent="0.3">
      <c r="A34" s="336" t="s">
        <v>830</v>
      </c>
      <c r="B34" s="336" t="s">
        <v>831</v>
      </c>
      <c r="C34" s="111"/>
      <c r="D34" s="111">
        <v>0</v>
      </c>
      <c r="E34" s="449">
        <f>SUMIFS('jb IFRS'!$C$3:$C$1000,'jb IFRS'!$D$3:$D$1000,A34,'jb IFRS'!$O$3:$O$1000,A34)</f>
        <v>52.27</v>
      </c>
      <c r="F34" s="449">
        <f>-SUMIFS('jb IFRS'!$C$3:$C$1000,'jb IFRS'!$D$3:$D$1000,A34,'jb IFRS'!$P$3:$P$1000,A34)</f>
        <v>0</v>
      </c>
      <c r="G34" s="393">
        <f t="shared" si="11"/>
        <v>52.27</v>
      </c>
      <c r="H34" s="393">
        <f t="shared" si="4"/>
        <v>0</v>
      </c>
      <c r="J34" s="397">
        <f t="shared" si="2"/>
        <v>52.27</v>
      </c>
    </row>
    <row r="35" spans="1:13" x14ac:dyDescent="0.3">
      <c r="A35" s="336" t="s">
        <v>832</v>
      </c>
      <c r="B35" s="336" t="s">
        <v>833</v>
      </c>
      <c r="C35" s="111"/>
      <c r="D35" s="111">
        <v>0</v>
      </c>
      <c r="E35" s="449">
        <f>SUMIFS('jb IFRS'!$C$3:$C$1000,'jb IFRS'!$D$3:$D$1000,A35,'jb IFRS'!$O$3:$O$1000,A35)</f>
        <v>230.55000000000007</v>
      </c>
      <c r="F35" s="449">
        <f>-SUMIFS('jb IFRS'!$C$3:$C$1000,'jb IFRS'!$D$3:$D$1000,A35,'jb IFRS'!$P$3:$P$1000,A35)</f>
        <v>0</v>
      </c>
      <c r="G35" s="393">
        <f t="shared" si="11"/>
        <v>230.55000000000007</v>
      </c>
      <c r="H35" s="393">
        <f t="shared" si="4"/>
        <v>0</v>
      </c>
      <c r="J35" s="397">
        <f t="shared" si="2"/>
        <v>230.55000000000007</v>
      </c>
    </row>
    <row r="36" spans="1:13" x14ac:dyDescent="0.3">
      <c r="A36" s="336" t="s">
        <v>1010</v>
      </c>
      <c r="B36" s="336" t="s">
        <v>1014</v>
      </c>
      <c r="C36" s="111"/>
      <c r="D36" s="111">
        <v>0</v>
      </c>
      <c r="E36" s="449">
        <f>SUMIFS('jb IFRS'!$C$3:$C$1000,'jb IFRS'!$D$3:$D$1000,A36,'jb IFRS'!$O$3:$O$1000,A36)</f>
        <v>220.14</v>
      </c>
      <c r="F36" s="449">
        <f>-SUMIFS('jb IFRS'!$C$3:$C$1000,'jb IFRS'!$D$3:$D$1000,A36,'jb IFRS'!$P$3:$P$1000,A36)</f>
        <v>0</v>
      </c>
      <c r="G36" s="393">
        <f t="shared" si="11"/>
        <v>220.14</v>
      </c>
      <c r="H36" s="393">
        <f t="shared" si="4"/>
        <v>0</v>
      </c>
      <c r="J36" s="397">
        <f t="shared" si="2"/>
        <v>220.14</v>
      </c>
      <c r="K36" t="s">
        <v>1535</v>
      </c>
    </row>
    <row r="37" spans="1:13" x14ac:dyDescent="0.3">
      <c r="A37" s="336" t="s">
        <v>1002</v>
      </c>
      <c r="B37" s="336" t="s">
        <v>1004</v>
      </c>
      <c r="C37" s="111"/>
      <c r="D37" s="111">
        <v>0</v>
      </c>
      <c r="E37" s="449">
        <f>SUMIFS('jb IFRS'!$C$3:$C$1000,'jb IFRS'!$D$3:$D$1000,A37,'jb IFRS'!$O$3:$O$1000,A37)</f>
        <v>5971.17</v>
      </c>
      <c r="F37" s="449">
        <f>-SUMIFS('jb IFRS'!$C$3:$C$1000,'jb IFRS'!$D$3:$D$1000,A37,'jb IFRS'!$P$3:$P$1000,A37)</f>
        <v>0</v>
      </c>
      <c r="G37" s="393">
        <f t="shared" si="11"/>
        <v>5971.17</v>
      </c>
      <c r="H37" s="393">
        <f t="shared" si="4"/>
        <v>0</v>
      </c>
      <c r="J37" s="397">
        <f t="shared" si="2"/>
        <v>5971.17</v>
      </c>
      <c r="K37" t="s">
        <v>1005</v>
      </c>
    </row>
    <row r="38" spans="1:13" x14ac:dyDescent="0.3">
      <c r="A38" s="336" t="s">
        <v>834</v>
      </c>
      <c r="B38" s="336" t="s">
        <v>41</v>
      </c>
      <c r="C38" s="111"/>
      <c r="D38" s="111">
        <v>0</v>
      </c>
      <c r="E38" s="449">
        <f>SUMIFS('jb IFRS'!$C$3:$C$1000,'jb IFRS'!$D$3:$D$1000,A38,'jb IFRS'!$O$3:$O$1000,A38)</f>
        <v>0</v>
      </c>
      <c r="F38" s="449">
        <f>-SUMIFS('jb IFRS'!$C$3:$C$1000,'jb IFRS'!$D$3:$D$1000,A38,'jb IFRS'!$P$3:$P$1000,A38)</f>
        <v>735868.63000000012</v>
      </c>
      <c r="G38" s="393">
        <f t="shared" si="11"/>
        <v>0</v>
      </c>
      <c r="H38" s="393">
        <f t="shared" si="4"/>
        <v>735868.63000000012</v>
      </c>
      <c r="J38" s="397">
        <f t="shared" si="2"/>
        <v>-735868.63000000012</v>
      </c>
      <c r="K38" t="s">
        <v>891</v>
      </c>
      <c r="L38" s="65">
        <f>SUM('067'!AC60:AC65)</f>
        <v>735855.79444722831</v>
      </c>
      <c r="M38" s="65">
        <f>J38+L38</f>
        <v>-12.83555277180858</v>
      </c>
    </row>
    <row r="39" spans="1:13" x14ac:dyDescent="0.3">
      <c r="A39" s="338" t="s">
        <v>835</v>
      </c>
      <c r="B39" s="338" t="s">
        <v>836</v>
      </c>
      <c r="C39" s="111"/>
      <c r="D39" s="111">
        <v>0</v>
      </c>
      <c r="E39" s="449">
        <f>SUMIFS('jb IFRS'!$C$3:$C$1000,'jb IFRS'!$D$3:$D$1000,A39,'jb IFRS'!$O$3:$O$1000,A39)</f>
        <v>0</v>
      </c>
      <c r="F39" s="449">
        <f>-SUMIFS('jb IFRS'!$C$3:$C$1000,'jb IFRS'!$D$3:$D$1000,A39,'jb IFRS'!$P$3:$P$1000,A39)</f>
        <v>0</v>
      </c>
      <c r="G39" s="393">
        <f t="shared" si="11"/>
        <v>0</v>
      </c>
      <c r="H39" s="393">
        <f t="shared" si="4"/>
        <v>0</v>
      </c>
      <c r="J39" s="397">
        <f t="shared" si="2"/>
        <v>0</v>
      </c>
    </row>
    <row r="40" spans="1:13" x14ac:dyDescent="0.3">
      <c r="A40" s="120" t="s">
        <v>837</v>
      </c>
      <c r="B40" s="119" t="s">
        <v>43</v>
      </c>
      <c r="C40" s="118">
        <f>SUM(C4:C39)</f>
        <v>6.4453244704054669E-4</v>
      </c>
      <c r="D40" s="118">
        <f t="shared" ref="D40:H40" si="16">SUM(D4:D39)</f>
        <v>0</v>
      </c>
      <c r="E40" s="450">
        <f t="shared" si="16"/>
        <v>1514379.0889869211</v>
      </c>
      <c r="F40" s="450">
        <f t="shared" si="16"/>
        <v>1514379.0889869216</v>
      </c>
      <c r="G40" s="450">
        <f t="shared" si="16"/>
        <v>1514379.089631456</v>
      </c>
      <c r="H40" s="450">
        <f t="shared" si="16"/>
        <v>1514379.0889869216</v>
      </c>
      <c r="J40" s="397">
        <f>SUM(J4:J39)</f>
        <v>6.4453540835529566E-4</v>
      </c>
    </row>
    <row r="41" spans="1:13" x14ac:dyDescent="0.3">
      <c r="A41" s="113"/>
      <c r="B41" s="113"/>
      <c r="C41" s="113"/>
      <c r="D41" s="113"/>
      <c r="E41" s="451"/>
      <c r="F41" s="451"/>
      <c r="G41" s="451"/>
      <c r="H41" s="451"/>
    </row>
    <row r="42" spans="1:13" x14ac:dyDescent="0.3">
      <c r="H42" s="473" t="s">
        <v>1016</v>
      </c>
      <c r="I42" s="474"/>
      <c r="J42" s="475">
        <f>SUM(J38:J39,J25:J35)</f>
        <v>-29879.911013078825</v>
      </c>
      <c r="K42" t="s">
        <v>1455</v>
      </c>
    </row>
    <row r="43" spans="1:13" x14ac:dyDescent="0.3">
      <c r="H43" s="473" t="s">
        <v>1017</v>
      </c>
      <c r="I43" s="474"/>
      <c r="J43" s="475">
        <f>J42+J37+J36</f>
        <v>-23688.601013078827</v>
      </c>
      <c r="K43" t="s">
        <v>1455</v>
      </c>
    </row>
  </sheetData>
  <phoneticPr fontId="59" type="noConversion"/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92B74-97A1-428C-A111-87620A26D4F9}">
  <sheetPr codeName="List11"/>
  <dimension ref="A1:N62"/>
  <sheetViews>
    <sheetView topLeftCell="A19" workbookViewId="0">
      <selection activeCell="D37" sqref="D37"/>
    </sheetView>
  </sheetViews>
  <sheetFormatPr defaultRowHeight="14.4" x14ac:dyDescent="0.3"/>
  <cols>
    <col min="1" max="1" width="8.88671875" style="130"/>
    <col min="2" max="2" width="35.5546875" style="130" customWidth="1"/>
    <col min="3" max="5" width="15.5546875" style="130" customWidth="1"/>
    <col min="6" max="6" width="8.88671875" style="130"/>
    <col min="7" max="7" width="18.33203125" style="130" customWidth="1"/>
    <col min="8" max="8" width="8.88671875" style="130"/>
    <col min="9" max="9" width="34.33203125" style="130" customWidth="1"/>
    <col min="10" max="10" width="13" style="130" customWidth="1"/>
    <col min="11" max="11" width="8.88671875" style="130"/>
    <col min="12" max="12" width="10.6640625" style="130" bestFit="1" customWidth="1"/>
    <col min="13" max="13" width="13.21875" style="130" bestFit="1" customWidth="1"/>
    <col min="14" max="14" width="10.5546875" style="130" bestFit="1" customWidth="1"/>
    <col min="15" max="257" width="8.88671875" style="130"/>
    <col min="258" max="258" width="31.21875" style="130" bestFit="1" customWidth="1"/>
    <col min="259" max="260" width="11.5546875" style="130" customWidth="1"/>
    <col min="261" max="261" width="18.33203125" style="130" customWidth="1"/>
    <col min="262" max="262" width="8.88671875" style="130"/>
    <col min="263" max="263" width="18.33203125" style="130" customWidth="1"/>
    <col min="264" max="264" width="8.88671875" style="130"/>
    <col min="265" max="265" width="27.21875" style="130" bestFit="1" customWidth="1"/>
    <col min="266" max="266" width="13" style="130" customWidth="1"/>
    <col min="267" max="267" width="8.88671875" style="130"/>
    <col min="268" max="268" width="10.6640625" style="130" bestFit="1" customWidth="1"/>
    <col min="269" max="269" width="9.21875" style="130" bestFit="1" customWidth="1"/>
    <col min="270" max="513" width="8.88671875" style="130"/>
    <col min="514" max="514" width="31.21875" style="130" bestFit="1" customWidth="1"/>
    <col min="515" max="516" width="11.5546875" style="130" customWidth="1"/>
    <col min="517" max="517" width="18.33203125" style="130" customWidth="1"/>
    <col min="518" max="518" width="8.88671875" style="130"/>
    <col min="519" max="519" width="18.33203125" style="130" customWidth="1"/>
    <col min="520" max="520" width="8.88671875" style="130"/>
    <col min="521" max="521" width="27.21875" style="130" bestFit="1" customWidth="1"/>
    <col min="522" max="522" width="13" style="130" customWidth="1"/>
    <col min="523" max="523" width="8.88671875" style="130"/>
    <col min="524" max="524" width="10.6640625" style="130" bestFit="1" customWidth="1"/>
    <col min="525" max="525" width="9.21875" style="130" bestFit="1" customWidth="1"/>
    <col min="526" max="769" width="8.88671875" style="130"/>
    <col min="770" max="770" width="31.21875" style="130" bestFit="1" customWidth="1"/>
    <col min="771" max="772" width="11.5546875" style="130" customWidth="1"/>
    <col min="773" max="773" width="18.33203125" style="130" customWidth="1"/>
    <col min="774" max="774" width="8.88671875" style="130"/>
    <col min="775" max="775" width="18.33203125" style="130" customWidth="1"/>
    <col min="776" max="776" width="8.88671875" style="130"/>
    <col min="777" max="777" width="27.21875" style="130" bestFit="1" customWidth="1"/>
    <col min="778" max="778" width="13" style="130" customWidth="1"/>
    <col min="779" max="779" width="8.88671875" style="130"/>
    <col min="780" max="780" width="10.6640625" style="130" bestFit="1" customWidth="1"/>
    <col min="781" max="781" width="9.21875" style="130" bestFit="1" customWidth="1"/>
    <col min="782" max="1025" width="8.88671875" style="130"/>
    <col min="1026" max="1026" width="31.21875" style="130" bestFit="1" customWidth="1"/>
    <col min="1027" max="1028" width="11.5546875" style="130" customWidth="1"/>
    <col min="1029" max="1029" width="18.33203125" style="130" customWidth="1"/>
    <col min="1030" max="1030" width="8.88671875" style="130"/>
    <col min="1031" max="1031" width="18.33203125" style="130" customWidth="1"/>
    <col min="1032" max="1032" width="8.88671875" style="130"/>
    <col min="1033" max="1033" width="27.21875" style="130" bestFit="1" customWidth="1"/>
    <col min="1034" max="1034" width="13" style="130" customWidth="1"/>
    <col min="1035" max="1035" width="8.88671875" style="130"/>
    <col min="1036" max="1036" width="10.6640625" style="130" bestFit="1" customWidth="1"/>
    <col min="1037" max="1037" width="9.21875" style="130" bestFit="1" customWidth="1"/>
    <col min="1038" max="1281" width="8.88671875" style="130"/>
    <col min="1282" max="1282" width="31.21875" style="130" bestFit="1" customWidth="1"/>
    <col min="1283" max="1284" width="11.5546875" style="130" customWidth="1"/>
    <col min="1285" max="1285" width="18.33203125" style="130" customWidth="1"/>
    <col min="1286" max="1286" width="8.88671875" style="130"/>
    <col min="1287" max="1287" width="18.33203125" style="130" customWidth="1"/>
    <col min="1288" max="1288" width="8.88671875" style="130"/>
    <col min="1289" max="1289" width="27.21875" style="130" bestFit="1" customWidth="1"/>
    <col min="1290" max="1290" width="13" style="130" customWidth="1"/>
    <col min="1291" max="1291" width="8.88671875" style="130"/>
    <col min="1292" max="1292" width="10.6640625" style="130" bestFit="1" customWidth="1"/>
    <col min="1293" max="1293" width="9.21875" style="130" bestFit="1" customWidth="1"/>
    <col min="1294" max="1537" width="8.88671875" style="130"/>
    <col min="1538" max="1538" width="31.21875" style="130" bestFit="1" customWidth="1"/>
    <col min="1539" max="1540" width="11.5546875" style="130" customWidth="1"/>
    <col min="1541" max="1541" width="18.33203125" style="130" customWidth="1"/>
    <col min="1542" max="1542" width="8.88671875" style="130"/>
    <col min="1543" max="1543" width="18.33203125" style="130" customWidth="1"/>
    <col min="1544" max="1544" width="8.88671875" style="130"/>
    <col min="1545" max="1545" width="27.21875" style="130" bestFit="1" customWidth="1"/>
    <col min="1546" max="1546" width="13" style="130" customWidth="1"/>
    <col min="1547" max="1547" width="8.88671875" style="130"/>
    <col min="1548" max="1548" width="10.6640625" style="130" bestFit="1" customWidth="1"/>
    <col min="1549" max="1549" width="9.21875" style="130" bestFit="1" customWidth="1"/>
    <col min="1550" max="1793" width="8.88671875" style="130"/>
    <col min="1794" max="1794" width="31.21875" style="130" bestFit="1" customWidth="1"/>
    <col min="1795" max="1796" width="11.5546875" style="130" customWidth="1"/>
    <col min="1797" max="1797" width="18.33203125" style="130" customWidth="1"/>
    <col min="1798" max="1798" width="8.88671875" style="130"/>
    <col min="1799" max="1799" width="18.33203125" style="130" customWidth="1"/>
    <col min="1800" max="1800" width="8.88671875" style="130"/>
    <col min="1801" max="1801" width="27.21875" style="130" bestFit="1" customWidth="1"/>
    <col min="1802" max="1802" width="13" style="130" customWidth="1"/>
    <col min="1803" max="1803" width="8.88671875" style="130"/>
    <col min="1804" max="1804" width="10.6640625" style="130" bestFit="1" customWidth="1"/>
    <col min="1805" max="1805" width="9.21875" style="130" bestFit="1" customWidth="1"/>
    <col min="1806" max="2049" width="8.88671875" style="130"/>
    <col min="2050" max="2050" width="31.21875" style="130" bestFit="1" customWidth="1"/>
    <col min="2051" max="2052" width="11.5546875" style="130" customWidth="1"/>
    <col min="2053" max="2053" width="18.33203125" style="130" customWidth="1"/>
    <col min="2054" max="2054" width="8.88671875" style="130"/>
    <col min="2055" max="2055" width="18.33203125" style="130" customWidth="1"/>
    <col min="2056" max="2056" width="8.88671875" style="130"/>
    <col min="2057" max="2057" width="27.21875" style="130" bestFit="1" customWidth="1"/>
    <col min="2058" max="2058" width="13" style="130" customWidth="1"/>
    <col min="2059" max="2059" width="8.88671875" style="130"/>
    <col min="2060" max="2060" width="10.6640625" style="130" bestFit="1" customWidth="1"/>
    <col min="2061" max="2061" width="9.21875" style="130" bestFit="1" customWidth="1"/>
    <col min="2062" max="2305" width="8.88671875" style="130"/>
    <col min="2306" max="2306" width="31.21875" style="130" bestFit="1" customWidth="1"/>
    <col min="2307" max="2308" width="11.5546875" style="130" customWidth="1"/>
    <col min="2309" max="2309" width="18.33203125" style="130" customWidth="1"/>
    <col min="2310" max="2310" width="8.88671875" style="130"/>
    <col min="2311" max="2311" width="18.33203125" style="130" customWidth="1"/>
    <col min="2312" max="2312" width="8.88671875" style="130"/>
    <col min="2313" max="2313" width="27.21875" style="130" bestFit="1" customWidth="1"/>
    <col min="2314" max="2314" width="13" style="130" customWidth="1"/>
    <col min="2315" max="2315" width="8.88671875" style="130"/>
    <col min="2316" max="2316" width="10.6640625" style="130" bestFit="1" customWidth="1"/>
    <col min="2317" max="2317" width="9.21875" style="130" bestFit="1" customWidth="1"/>
    <col min="2318" max="2561" width="8.88671875" style="130"/>
    <col min="2562" max="2562" width="31.21875" style="130" bestFit="1" customWidth="1"/>
    <col min="2563" max="2564" width="11.5546875" style="130" customWidth="1"/>
    <col min="2565" max="2565" width="18.33203125" style="130" customWidth="1"/>
    <col min="2566" max="2566" width="8.88671875" style="130"/>
    <col min="2567" max="2567" width="18.33203125" style="130" customWidth="1"/>
    <col min="2568" max="2568" width="8.88671875" style="130"/>
    <col min="2569" max="2569" width="27.21875" style="130" bestFit="1" customWidth="1"/>
    <col min="2570" max="2570" width="13" style="130" customWidth="1"/>
    <col min="2571" max="2571" width="8.88671875" style="130"/>
    <col min="2572" max="2572" width="10.6640625" style="130" bestFit="1" customWidth="1"/>
    <col min="2573" max="2573" width="9.21875" style="130" bestFit="1" customWidth="1"/>
    <col min="2574" max="2817" width="8.88671875" style="130"/>
    <col min="2818" max="2818" width="31.21875" style="130" bestFit="1" customWidth="1"/>
    <col min="2819" max="2820" width="11.5546875" style="130" customWidth="1"/>
    <col min="2821" max="2821" width="18.33203125" style="130" customWidth="1"/>
    <col min="2822" max="2822" width="8.88671875" style="130"/>
    <col min="2823" max="2823" width="18.33203125" style="130" customWidth="1"/>
    <col min="2824" max="2824" width="8.88671875" style="130"/>
    <col min="2825" max="2825" width="27.21875" style="130" bestFit="1" customWidth="1"/>
    <col min="2826" max="2826" width="13" style="130" customWidth="1"/>
    <col min="2827" max="2827" width="8.88671875" style="130"/>
    <col min="2828" max="2828" width="10.6640625" style="130" bestFit="1" customWidth="1"/>
    <col min="2829" max="2829" width="9.21875" style="130" bestFit="1" customWidth="1"/>
    <col min="2830" max="3073" width="8.88671875" style="130"/>
    <col min="3074" max="3074" width="31.21875" style="130" bestFit="1" customWidth="1"/>
    <col min="3075" max="3076" width="11.5546875" style="130" customWidth="1"/>
    <col min="3077" max="3077" width="18.33203125" style="130" customWidth="1"/>
    <col min="3078" max="3078" width="8.88671875" style="130"/>
    <col min="3079" max="3079" width="18.33203125" style="130" customWidth="1"/>
    <col min="3080" max="3080" width="8.88671875" style="130"/>
    <col min="3081" max="3081" width="27.21875" style="130" bestFit="1" customWidth="1"/>
    <col min="3082" max="3082" width="13" style="130" customWidth="1"/>
    <col min="3083" max="3083" width="8.88671875" style="130"/>
    <col min="3084" max="3084" width="10.6640625" style="130" bestFit="1" customWidth="1"/>
    <col min="3085" max="3085" width="9.21875" style="130" bestFit="1" customWidth="1"/>
    <col min="3086" max="3329" width="8.88671875" style="130"/>
    <col min="3330" max="3330" width="31.21875" style="130" bestFit="1" customWidth="1"/>
    <col min="3331" max="3332" width="11.5546875" style="130" customWidth="1"/>
    <col min="3333" max="3333" width="18.33203125" style="130" customWidth="1"/>
    <col min="3334" max="3334" width="8.88671875" style="130"/>
    <col min="3335" max="3335" width="18.33203125" style="130" customWidth="1"/>
    <col min="3336" max="3336" width="8.88671875" style="130"/>
    <col min="3337" max="3337" width="27.21875" style="130" bestFit="1" customWidth="1"/>
    <col min="3338" max="3338" width="13" style="130" customWidth="1"/>
    <col min="3339" max="3339" width="8.88671875" style="130"/>
    <col min="3340" max="3340" width="10.6640625" style="130" bestFit="1" customWidth="1"/>
    <col min="3341" max="3341" width="9.21875" style="130" bestFit="1" customWidth="1"/>
    <col min="3342" max="3585" width="8.88671875" style="130"/>
    <col min="3586" max="3586" width="31.21875" style="130" bestFit="1" customWidth="1"/>
    <col min="3587" max="3588" width="11.5546875" style="130" customWidth="1"/>
    <col min="3589" max="3589" width="18.33203125" style="130" customWidth="1"/>
    <col min="3590" max="3590" width="8.88671875" style="130"/>
    <col min="3591" max="3591" width="18.33203125" style="130" customWidth="1"/>
    <col min="3592" max="3592" width="8.88671875" style="130"/>
    <col min="3593" max="3593" width="27.21875" style="130" bestFit="1" customWidth="1"/>
    <col min="3594" max="3594" width="13" style="130" customWidth="1"/>
    <col min="3595" max="3595" width="8.88671875" style="130"/>
    <col min="3596" max="3596" width="10.6640625" style="130" bestFit="1" customWidth="1"/>
    <col min="3597" max="3597" width="9.21875" style="130" bestFit="1" customWidth="1"/>
    <col min="3598" max="3841" width="8.88671875" style="130"/>
    <col min="3842" max="3842" width="31.21875" style="130" bestFit="1" customWidth="1"/>
    <col min="3843" max="3844" width="11.5546875" style="130" customWidth="1"/>
    <col min="3845" max="3845" width="18.33203125" style="130" customWidth="1"/>
    <col min="3846" max="3846" width="8.88671875" style="130"/>
    <col min="3847" max="3847" width="18.33203125" style="130" customWidth="1"/>
    <col min="3848" max="3848" width="8.88671875" style="130"/>
    <col min="3849" max="3849" width="27.21875" style="130" bestFit="1" customWidth="1"/>
    <col min="3850" max="3850" width="13" style="130" customWidth="1"/>
    <col min="3851" max="3851" width="8.88671875" style="130"/>
    <col min="3852" max="3852" width="10.6640625" style="130" bestFit="1" customWidth="1"/>
    <col min="3853" max="3853" width="9.21875" style="130" bestFit="1" customWidth="1"/>
    <col min="3854" max="4097" width="8.88671875" style="130"/>
    <col min="4098" max="4098" width="31.21875" style="130" bestFit="1" customWidth="1"/>
    <col min="4099" max="4100" width="11.5546875" style="130" customWidth="1"/>
    <col min="4101" max="4101" width="18.33203125" style="130" customWidth="1"/>
    <col min="4102" max="4102" width="8.88671875" style="130"/>
    <col min="4103" max="4103" width="18.33203125" style="130" customWidth="1"/>
    <col min="4104" max="4104" width="8.88671875" style="130"/>
    <col min="4105" max="4105" width="27.21875" style="130" bestFit="1" customWidth="1"/>
    <col min="4106" max="4106" width="13" style="130" customWidth="1"/>
    <col min="4107" max="4107" width="8.88671875" style="130"/>
    <col min="4108" max="4108" width="10.6640625" style="130" bestFit="1" customWidth="1"/>
    <col min="4109" max="4109" width="9.21875" style="130" bestFit="1" customWidth="1"/>
    <col min="4110" max="4353" width="8.88671875" style="130"/>
    <col min="4354" max="4354" width="31.21875" style="130" bestFit="1" customWidth="1"/>
    <col min="4355" max="4356" width="11.5546875" style="130" customWidth="1"/>
    <col min="4357" max="4357" width="18.33203125" style="130" customWidth="1"/>
    <col min="4358" max="4358" width="8.88671875" style="130"/>
    <col min="4359" max="4359" width="18.33203125" style="130" customWidth="1"/>
    <col min="4360" max="4360" width="8.88671875" style="130"/>
    <col min="4361" max="4361" width="27.21875" style="130" bestFit="1" customWidth="1"/>
    <col min="4362" max="4362" width="13" style="130" customWidth="1"/>
    <col min="4363" max="4363" width="8.88671875" style="130"/>
    <col min="4364" max="4364" width="10.6640625" style="130" bestFit="1" customWidth="1"/>
    <col min="4365" max="4365" width="9.21875" style="130" bestFit="1" customWidth="1"/>
    <col min="4366" max="4609" width="8.88671875" style="130"/>
    <col min="4610" max="4610" width="31.21875" style="130" bestFit="1" customWidth="1"/>
    <col min="4611" max="4612" width="11.5546875" style="130" customWidth="1"/>
    <col min="4613" max="4613" width="18.33203125" style="130" customWidth="1"/>
    <col min="4614" max="4614" width="8.88671875" style="130"/>
    <col min="4615" max="4615" width="18.33203125" style="130" customWidth="1"/>
    <col min="4616" max="4616" width="8.88671875" style="130"/>
    <col min="4617" max="4617" width="27.21875" style="130" bestFit="1" customWidth="1"/>
    <col min="4618" max="4618" width="13" style="130" customWidth="1"/>
    <col min="4619" max="4619" width="8.88671875" style="130"/>
    <col min="4620" max="4620" width="10.6640625" style="130" bestFit="1" customWidth="1"/>
    <col min="4621" max="4621" width="9.21875" style="130" bestFit="1" customWidth="1"/>
    <col min="4622" max="4865" width="8.88671875" style="130"/>
    <col min="4866" max="4866" width="31.21875" style="130" bestFit="1" customWidth="1"/>
    <col min="4867" max="4868" width="11.5546875" style="130" customWidth="1"/>
    <col min="4869" max="4869" width="18.33203125" style="130" customWidth="1"/>
    <col min="4870" max="4870" width="8.88671875" style="130"/>
    <col min="4871" max="4871" width="18.33203125" style="130" customWidth="1"/>
    <col min="4872" max="4872" width="8.88671875" style="130"/>
    <col min="4873" max="4873" width="27.21875" style="130" bestFit="1" customWidth="1"/>
    <col min="4874" max="4874" width="13" style="130" customWidth="1"/>
    <col min="4875" max="4875" width="8.88671875" style="130"/>
    <col min="4876" max="4876" width="10.6640625" style="130" bestFit="1" customWidth="1"/>
    <col min="4877" max="4877" width="9.21875" style="130" bestFit="1" customWidth="1"/>
    <col min="4878" max="5121" width="8.88671875" style="130"/>
    <col min="5122" max="5122" width="31.21875" style="130" bestFit="1" customWidth="1"/>
    <col min="5123" max="5124" width="11.5546875" style="130" customWidth="1"/>
    <col min="5125" max="5125" width="18.33203125" style="130" customWidth="1"/>
    <col min="5126" max="5126" width="8.88671875" style="130"/>
    <col min="5127" max="5127" width="18.33203125" style="130" customWidth="1"/>
    <col min="5128" max="5128" width="8.88671875" style="130"/>
    <col min="5129" max="5129" width="27.21875" style="130" bestFit="1" customWidth="1"/>
    <col min="5130" max="5130" width="13" style="130" customWidth="1"/>
    <col min="5131" max="5131" width="8.88671875" style="130"/>
    <col min="5132" max="5132" width="10.6640625" style="130" bestFit="1" customWidth="1"/>
    <col min="5133" max="5133" width="9.21875" style="130" bestFit="1" customWidth="1"/>
    <col min="5134" max="5377" width="8.88671875" style="130"/>
    <col min="5378" max="5378" width="31.21875" style="130" bestFit="1" customWidth="1"/>
    <col min="5379" max="5380" width="11.5546875" style="130" customWidth="1"/>
    <col min="5381" max="5381" width="18.33203125" style="130" customWidth="1"/>
    <col min="5382" max="5382" width="8.88671875" style="130"/>
    <col min="5383" max="5383" width="18.33203125" style="130" customWidth="1"/>
    <col min="5384" max="5384" width="8.88671875" style="130"/>
    <col min="5385" max="5385" width="27.21875" style="130" bestFit="1" customWidth="1"/>
    <col min="5386" max="5386" width="13" style="130" customWidth="1"/>
    <col min="5387" max="5387" width="8.88671875" style="130"/>
    <col min="5388" max="5388" width="10.6640625" style="130" bestFit="1" customWidth="1"/>
    <col min="5389" max="5389" width="9.21875" style="130" bestFit="1" customWidth="1"/>
    <col min="5390" max="5633" width="8.88671875" style="130"/>
    <col min="5634" max="5634" width="31.21875" style="130" bestFit="1" customWidth="1"/>
    <col min="5635" max="5636" width="11.5546875" style="130" customWidth="1"/>
    <col min="5637" max="5637" width="18.33203125" style="130" customWidth="1"/>
    <col min="5638" max="5638" width="8.88671875" style="130"/>
    <col min="5639" max="5639" width="18.33203125" style="130" customWidth="1"/>
    <col min="5640" max="5640" width="8.88671875" style="130"/>
    <col min="5641" max="5641" width="27.21875" style="130" bestFit="1" customWidth="1"/>
    <col min="5642" max="5642" width="13" style="130" customWidth="1"/>
    <col min="5643" max="5643" width="8.88671875" style="130"/>
    <col min="5644" max="5644" width="10.6640625" style="130" bestFit="1" customWidth="1"/>
    <col min="5645" max="5645" width="9.21875" style="130" bestFit="1" customWidth="1"/>
    <col min="5646" max="5889" width="8.88671875" style="130"/>
    <col min="5890" max="5890" width="31.21875" style="130" bestFit="1" customWidth="1"/>
    <col min="5891" max="5892" width="11.5546875" style="130" customWidth="1"/>
    <col min="5893" max="5893" width="18.33203125" style="130" customWidth="1"/>
    <col min="5894" max="5894" width="8.88671875" style="130"/>
    <col min="5895" max="5895" width="18.33203125" style="130" customWidth="1"/>
    <col min="5896" max="5896" width="8.88671875" style="130"/>
    <col min="5897" max="5897" width="27.21875" style="130" bestFit="1" customWidth="1"/>
    <col min="5898" max="5898" width="13" style="130" customWidth="1"/>
    <col min="5899" max="5899" width="8.88671875" style="130"/>
    <col min="5900" max="5900" width="10.6640625" style="130" bestFit="1" customWidth="1"/>
    <col min="5901" max="5901" width="9.21875" style="130" bestFit="1" customWidth="1"/>
    <col min="5902" max="6145" width="8.88671875" style="130"/>
    <col min="6146" max="6146" width="31.21875" style="130" bestFit="1" customWidth="1"/>
    <col min="6147" max="6148" width="11.5546875" style="130" customWidth="1"/>
    <col min="6149" max="6149" width="18.33203125" style="130" customWidth="1"/>
    <col min="6150" max="6150" width="8.88671875" style="130"/>
    <col min="6151" max="6151" width="18.33203125" style="130" customWidth="1"/>
    <col min="6152" max="6152" width="8.88671875" style="130"/>
    <col min="6153" max="6153" width="27.21875" style="130" bestFit="1" customWidth="1"/>
    <col min="6154" max="6154" width="13" style="130" customWidth="1"/>
    <col min="6155" max="6155" width="8.88671875" style="130"/>
    <col min="6156" max="6156" width="10.6640625" style="130" bestFit="1" customWidth="1"/>
    <col min="6157" max="6157" width="9.21875" style="130" bestFit="1" customWidth="1"/>
    <col min="6158" max="6401" width="8.88671875" style="130"/>
    <col min="6402" max="6402" width="31.21875" style="130" bestFit="1" customWidth="1"/>
    <col min="6403" max="6404" width="11.5546875" style="130" customWidth="1"/>
    <col min="6405" max="6405" width="18.33203125" style="130" customWidth="1"/>
    <col min="6406" max="6406" width="8.88671875" style="130"/>
    <col min="6407" max="6407" width="18.33203125" style="130" customWidth="1"/>
    <col min="6408" max="6408" width="8.88671875" style="130"/>
    <col min="6409" max="6409" width="27.21875" style="130" bestFit="1" customWidth="1"/>
    <col min="6410" max="6410" width="13" style="130" customWidth="1"/>
    <col min="6411" max="6411" width="8.88671875" style="130"/>
    <col min="6412" max="6412" width="10.6640625" style="130" bestFit="1" customWidth="1"/>
    <col min="6413" max="6413" width="9.21875" style="130" bestFit="1" customWidth="1"/>
    <col min="6414" max="6657" width="8.88671875" style="130"/>
    <col min="6658" max="6658" width="31.21875" style="130" bestFit="1" customWidth="1"/>
    <col min="6659" max="6660" width="11.5546875" style="130" customWidth="1"/>
    <col min="6661" max="6661" width="18.33203125" style="130" customWidth="1"/>
    <col min="6662" max="6662" width="8.88671875" style="130"/>
    <col min="6663" max="6663" width="18.33203125" style="130" customWidth="1"/>
    <col min="6664" max="6664" width="8.88671875" style="130"/>
    <col min="6665" max="6665" width="27.21875" style="130" bestFit="1" customWidth="1"/>
    <col min="6666" max="6666" width="13" style="130" customWidth="1"/>
    <col min="6667" max="6667" width="8.88671875" style="130"/>
    <col min="6668" max="6668" width="10.6640625" style="130" bestFit="1" customWidth="1"/>
    <col min="6669" max="6669" width="9.21875" style="130" bestFit="1" customWidth="1"/>
    <col min="6670" max="6913" width="8.88671875" style="130"/>
    <col min="6914" max="6914" width="31.21875" style="130" bestFit="1" customWidth="1"/>
    <col min="6915" max="6916" width="11.5546875" style="130" customWidth="1"/>
    <col min="6917" max="6917" width="18.33203125" style="130" customWidth="1"/>
    <col min="6918" max="6918" width="8.88671875" style="130"/>
    <col min="6919" max="6919" width="18.33203125" style="130" customWidth="1"/>
    <col min="6920" max="6920" width="8.88671875" style="130"/>
    <col min="6921" max="6921" width="27.21875" style="130" bestFit="1" customWidth="1"/>
    <col min="6922" max="6922" width="13" style="130" customWidth="1"/>
    <col min="6923" max="6923" width="8.88671875" style="130"/>
    <col min="6924" max="6924" width="10.6640625" style="130" bestFit="1" customWidth="1"/>
    <col min="6925" max="6925" width="9.21875" style="130" bestFit="1" customWidth="1"/>
    <col min="6926" max="7169" width="8.88671875" style="130"/>
    <col min="7170" max="7170" width="31.21875" style="130" bestFit="1" customWidth="1"/>
    <col min="7171" max="7172" width="11.5546875" style="130" customWidth="1"/>
    <col min="7173" max="7173" width="18.33203125" style="130" customWidth="1"/>
    <col min="7174" max="7174" width="8.88671875" style="130"/>
    <col min="7175" max="7175" width="18.33203125" style="130" customWidth="1"/>
    <col min="7176" max="7176" width="8.88671875" style="130"/>
    <col min="7177" max="7177" width="27.21875" style="130" bestFit="1" customWidth="1"/>
    <col min="7178" max="7178" width="13" style="130" customWidth="1"/>
    <col min="7179" max="7179" width="8.88671875" style="130"/>
    <col min="7180" max="7180" width="10.6640625" style="130" bestFit="1" customWidth="1"/>
    <col min="7181" max="7181" width="9.21875" style="130" bestFit="1" customWidth="1"/>
    <col min="7182" max="7425" width="8.88671875" style="130"/>
    <col min="7426" max="7426" width="31.21875" style="130" bestFit="1" customWidth="1"/>
    <col min="7427" max="7428" width="11.5546875" style="130" customWidth="1"/>
    <col min="7429" max="7429" width="18.33203125" style="130" customWidth="1"/>
    <col min="7430" max="7430" width="8.88671875" style="130"/>
    <col min="7431" max="7431" width="18.33203125" style="130" customWidth="1"/>
    <col min="7432" max="7432" width="8.88671875" style="130"/>
    <col min="7433" max="7433" width="27.21875" style="130" bestFit="1" customWidth="1"/>
    <col min="7434" max="7434" width="13" style="130" customWidth="1"/>
    <col min="7435" max="7435" width="8.88671875" style="130"/>
    <col min="7436" max="7436" width="10.6640625" style="130" bestFit="1" customWidth="1"/>
    <col min="7437" max="7437" width="9.21875" style="130" bestFit="1" customWidth="1"/>
    <col min="7438" max="7681" width="8.88671875" style="130"/>
    <col min="7682" max="7682" width="31.21875" style="130" bestFit="1" customWidth="1"/>
    <col min="7683" max="7684" width="11.5546875" style="130" customWidth="1"/>
    <col min="7685" max="7685" width="18.33203125" style="130" customWidth="1"/>
    <col min="7686" max="7686" width="8.88671875" style="130"/>
    <col min="7687" max="7687" width="18.33203125" style="130" customWidth="1"/>
    <col min="7688" max="7688" width="8.88671875" style="130"/>
    <col min="7689" max="7689" width="27.21875" style="130" bestFit="1" customWidth="1"/>
    <col min="7690" max="7690" width="13" style="130" customWidth="1"/>
    <col min="7691" max="7691" width="8.88671875" style="130"/>
    <col min="7692" max="7692" width="10.6640625" style="130" bestFit="1" customWidth="1"/>
    <col min="7693" max="7693" width="9.21875" style="130" bestFit="1" customWidth="1"/>
    <col min="7694" max="7937" width="8.88671875" style="130"/>
    <col min="7938" max="7938" width="31.21875" style="130" bestFit="1" customWidth="1"/>
    <col min="7939" max="7940" width="11.5546875" style="130" customWidth="1"/>
    <col min="7941" max="7941" width="18.33203125" style="130" customWidth="1"/>
    <col min="7942" max="7942" width="8.88671875" style="130"/>
    <col min="7943" max="7943" width="18.33203125" style="130" customWidth="1"/>
    <col min="7944" max="7944" width="8.88671875" style="130"/>
    <col min="7945" max="7945" width="27.21875" style="130" bestFit="1" customWidth="1"/>
    <col min="7946" max="7946" width="13" style="130" customWidth="1"/>
    <col min="7947" max="7947" width="8.88671875" style="130"/>
    <col min="7948" max="7948" width="10.6640625" style="130" bestFit="1" customWidth="1"/>
    <col min="7949" max="7949" width="9.21875" style="130" bestFit="1" customWidth="1"/>
    <col min="7950" max="8193" width="8.88671875" style="130"/>
    <col min="8194" max="8194" width="31.21875" style="130" bestFit="1" customWidth="1"/>
    <col min="8195" max="8196" width="11.5546875" style="130" customWidth="1"/>
    <col min="8197" max="8197" width="18.33203125" style="130" customWidth="1"/>
    <col min="8198" max="8198" width="8.88671875" style="130"/>
    <col min="8199" max="8199" width="18.33203125" style="130" customWidth="1"/>
    <col min="8200" max="8200" width="8.88671875" style="130"/>
    <col min="8201" max="8201" width="27.21875" style="130" bestFit="1" customWidth="1"/>
    <col min="8202" max="8202" width="13" style="130" customWidth="1"/>
    <col min="8203" max="8203" width="8.88671875" style="130"/>
    <col min="8204" max="8204" width="10.6640625" style="130" bestFit="1" customWidth="1"/>
    <col min="8205" max="8205" width="9.21875" style="130" bestFit="1" customWidth="1"/>
    <col min="8206" max="8449" width="8.88671875" style="130"/>
    <col min="8450" max="8450" width="31.21875" style="130" bestFit="1" customWidth="1"/>
    <col min="8451" max="8452" width="11.5546875" style="130" customWidth="1"/>
    <col min="8453" max="8453" width="18.33203125" style="130" customWidth="1"/>
    <col min="8454" max="8454" width="8.88671875" style="130"/>
    <col min="8455" max="8455" width="18.33203125" style="130" customWidth="1"/>
    <col min="8456" max="8456" width="8.88671875" style="130"/>
    <col min="8457" max="8457" width="27.21875" style="130" bestFit="1" customWidth="1"/>
    <col min="8458" max="8458" width="13" style="130" customWidth="1"/>
    <col min="8459" max="8459" width="8.88671875" style="130"/>
    <col min="8460" max="8460" width="10.6640625" style="130" bestFit="1" customWidth="1"/>
    <col min="8461" max="8461" width="9.21875" style="130" bestFit="1" customWidth="1"/>
    <col min="8462" max="8705" width="8.88671875" style="130"/>
    <col min="8706" max="8706" width="31.21875" style="130" bestFit="1" customWidth="1"/>
    <col min="8707" max="8708" width="11.5546875" style="130" customWidth="1"/>
    <col min="8709" max="8709" width="18.33203125" style="130" customWidth="1"/>
    <col min="8710" max="8710" width="8.88671875" style="130"/>
    <col min="8711" max="8711" width="18.33203125" style="130" customWidth="1"/>
    <col min="8712" max="8712" width="8.88671875" style="130"/>
    <col min="8713" max="8713" width="27.21875" style="130" bestFit="1" customWidth="1"/>
    <col min="8714" max="8714" width="13" style="130" customWidth="1"/>
    <col min="8715" max="8715" width="8.88671875" style="130"/>
    <col min="8716" max="8716" width="10.6640625" style="130" bestFit="1" customWidth="1"/>
    <col min="8717" max="8717" width="9.21875" style="130" bestFit="1" customWidth="1"/>
    <col min="8718" max="8961" width="8.88671875" style="130"/>
    <col min="8962" max="8962" width="31.21875" style="130" bestFit="1" customWidth="1"/>
    <col min="8963" max="8964" width="11.5546875" style="130" customWidth="1"/>
    <col min="8965" max="8965" width="18.33203125" style="130" customWidth="1"/>
    <col min="8966" max="8966" width="8.88671875" style="130"/>
    <col min="8967" max="8967" width="18.33203125" style="130" customWidth="1"/>
    <col min="8968" max="8968" width="8.88671875" style="130"/>
    <col min="8969" max="8969" width="27.21875" style="130" bestFit="1" customWidth="1"/>
    <col min="8970" max="8970" width="13" style="130" customWidth="1"/>
    <col min="8971" max="8971" width="8.88671875" style="130"/>
    <col min="8972" max="8972" width="10.6640625" style="130" bestFit="1" customWidth="1"/>
    <col min="8973" max="8973" width="9.21875" style="130" bestFit="1" customWidth="1"/>
    <col min="8974" max="9217" width="8.88671875" style="130"/>
    <col min="9218" max="9218" width="31.21875" style="130" bestFit="1" customWidth="1"/>
    <col min="9219" max="9220" width="11.5546875" style="130" customWidth="1"/>
    <col min="9221" max="9221" width="18.33203125" style="130" customWidth="1"/>
    <col min="9222" max="9222" width="8.88671875" style="130"/>
    <col min="9223" max="9223" width="18.33203125" style="130" customWidth="1"/>
    <col min="9224" max="9224" width="8.88671875" style="130"/>
    <col min="9225" max="9225" width="27.21875" style="130" bestFit="1" customWidth="1"/>
    <col min="9226" max="9226" width="13" style="130" customWidth="1"/>
    <col min="9227" max="9227" width="8.88671875" style="130"/>
    <col min="9228" max="9228" width="10.6640625" style="130" bestFit="1" customWidth="1"/>
    <col min="9229" max="9229" width="9.21875" style="130" bestFit="1" customWidth="1"/>
    <col min="9230" max="9473" width="8.88671875" style="130"/>
    <col min="9474" max="9474" width="31.21875" style="130" bestFit="1" customWidth="1"/>
    <col min="9475" max="9476" width="11.5546875" style="130" customWidth="1"/>
    <col min="9477" max="9477" width="18.33203125" style="130" customWidth="1"/>
    <col min="9478" max="9478" width="8.88671875" style="130"/>
    <col min="9479" max="9479" width="18.33203125" style="130" customWidth="1"/>
    <col min="9480" max="9480" width="8.88671875" style="130"/>
    <col min="9481" max="9481" width="27.21875" style="130" bestFit="1" customWidth="1"/>
    <col min="9482" max="9482" width="13" style="130" customWidth="1"/>
    <col min="9483" max="9483" width="8.88671875" style="130"/>
    <col min="9484" max="9484" width="10.6640625" style="130" bestFit="1" customWidth="1"/>
    <col min="9485" max="9485" width="9.21875" style="130" bestFit="1" customWidth="1"/>
    <col min="9486" max="9729" width="8.88671875" style="130"/>
    <col min="9730" max="9730" width="31.21875" style="130" bestFit="1" customWidth="1"/>
    <col min="9731" max="9732" width="11.5546875" style="130" customWidth="1"/>
    <col min="9733" max="9733" width="18.33203125" style="130" customWidth="1"/>
    <col min="9734" max="9734" width="8.88671875" style="130"/>
    <col min="9735" max="9735" width="18.33203125" style="130" customWidth="1"/>
    <col min="9736" max="9736" width="8.88671875" style="130"/>
    <col min="9737" max="9737" width="27.21875" style="130" bestFit="1" customWidth="1"/>
    <col min="9738" max="9738" width="13" style="130" customWidth="1"/>
    <col min="9739" max="9739" width="8.88671875" style="130"/>
    <col min="9740" max="9740" width="10.6640625" style="130" bestFit="1" customWidth="1"/>
    <col min="9741" max="9741" width="9.21875" style="130" bestFit="1" customWidth="1"/>
    <col min="9742" max="9985" width="8.88671875" style="130"/>
    <col min="9986" max="9986" width="31.21875" style="130" bestFit="1" customWidth="1"/>
    <col min="9987" max="9988" width="11.5546875" style="130" customWidth="1"/>
    <col min="9989" max="9989" width="18.33203125" style="130" customWidth="1"/>
    <col min="9990" max="9990" width="8.88671875" style="130"/>
    <col min="9991" max="9991" width="18.33203125" style="130" customWidth="1"/>
    <col min="9992" max="9992" width="8.88671875" style="130"/>
    <col min="9993" max="9993" width="27.21875" style="130" bestFit="1" customWidth="1"/>
    <col min="9994" max="9994" width="13" style="130" customWidth="1"/>
    <col min="9995" max="9995" width="8.88671875" style="130"/>
    <col min="9996" max="9996" width="10.6640625" style="130" bestFit="1" customWidth="1"/>
    <col min="9997" max="9997" width="9.21875" style="130" bestFit="1" customWidth="1"/>
    <col min="9998" max="10241" width="8.88671875" style="130"/>
    <col min="10242" max="10242" width="31.21875" style="130" bestFit="1" customWidth="1"/>
    <col min="10243" max="10244" width="11.5546875" style="130" customWidth="1"/>
    <col min="10245" max="10245" width="18.33203125" style="130" customWidth="1"/>
    <col min="10246" max="10246" width="8.88671875" style="130"/>
    <col min="10247" max="10247" width="18.33203125" style="130" customWidth="1"/>
    <col min="10248" max="10248" width="8.88671875" style="130"/>
    <col min="10249" max="10249" width="27.21875" style="130" bestFit="1" customWidth="1"/>
    <col min="10250" max="10250" width="13" style="130" customWidth="1"/>
    <col min="10251" max="10251" width="8.88671875" style="130"/>
    <col min="10252" max="10252" width="10.6640625" style="130" bestFit="1" customWidth="1"/>
    <col min="10253" max="10253" width="9.21875" style="130" bestFit="1" customWidth="1"/>
    <col min="10254" max="10497" width="8.88671875" style="130"/>
    <col min="10498" max="10498" width="31.21875" style="130" bestFit="1" customWidth="1"/>
    <col min="10499" max="10500" width="11.5546875" style="130" customWidth="1"/>
    <col min="10501" max="10501" width="18.33203125" style="130" customWidth="1"/>
    <col min="10502" max="10502" width="8.88671875" style="130"/>
    <col min="10503" max="10503" width="18.33203125" style="130" customWidth="1"/>
    <col min="10504" max="10504" width="8.88671875" style="130"/>
    <col min="10505" max="10505" width="27.21875" style="130" bestFit="1" customWidth="1"/>
    <col min="10506" max="10506" width="13" style="130" customWidth="1"/>
    <col min="10507" max="10507" width="8.88671875" style="130"/>
    <col min="10508" max="10508" width="10.6640625" style="130" bestFit="1" customWidth="1"/>
    <col min="10509" max="10509" width="9.21875" style="130" bestFit="1" customWidth="1"/>
    <col min="10510" max="10753" width="8.88671875" style="130"/>
    <col min="10754" max="10754" width="31.21875" style="130" bestFit="1" customWidth="1"/>
    <col min="10755" max="10756" width="11.5546875" style="130" customWidth="1"/>
    <col min="10757" max="10757" width="18.33203125" style="130" customWidth="1"/>
    <col min="10758" max="10758" width="8.88671875" style="130"/>
    <col min="10759" max="10759" width="18.33203125" style="130" customWidth="1"/>
    <col min="10760" max="10760" width="8.88671875" style="130"/>
    <col min="10761" max="10761" width="27.21875" style="130" bestFit="1" customWidth="1"/>
    <col min="10762" max="10762" width="13" style="130" customWidth="1"/>
    <col min="10763" max="10763" width="8.88671875" style="130"/>
    <col min="10764" max="10764" width="10.6640625" style="130" bestFit="1" customWidth="1"/>
    <col min="10765" max="10765" width="9.21875" style="130" bestFit="1" customWidth="1"/>
    <col min="10766" max="11009" width="8.88671875" style="130"/>
    <col min="11010" max="11010" width="31.21875" style="130" bestFit="1" customWidth="1"/>
    <col min="11011" max="11012" width="11.5546875" style="130" customWidth="1"/>
    <col min="11013" max="11013" width="18.33203125" style="130" customWidth="1"/>
    <col min="11014" max="11014" width="8.88671875" style="130"/>
    <col min="11015" max="11015" width="18.33203125" style="130" customWidth="1"/>
    <col min="11016" max="11016" width="8.88671875" style="130"/>
    <col min="11017" max="11017" width="27.21875" style="130" bestFit="1" customWidth="1"/>
    <col min="11018" max="11018" width="13" style="130" customWidth="1"/>
    <col min="11019" max="11019" width="8.88671875" style="130"/>
    <col min="11020" max="11020" width="10.6640625" style="130" bestFit="1" customWidth="1"/>
    <col min="11021" max="11021" width="9.21875" style="130" bestFit="1" customWidth="1"/>
    <col min="11022" max="11265" width="8.88671875" style="130"/>
    <col min="11266" max="11266" width="31.21875" style="130" bestFit="1" customWidth="1"/>
    <col min="11267" max="11268" width="11.5546875" style="130" customWidth="1"/>
    <col min="11269" max="11269" width="18.33203125" style="130" customWidth="1"/>
    <col min="11270" max="11270" width="8.88671875" style="130"/>
    <col min="11271" max="11271" width="18.33203125" style="130" customWidth="1"/>
    <col min="11272" max="11272" width="8.88671875" style="130"/>
    <col min="11273" max="11273" width="27.21875" style="130" bestFit="1" customWidth="1"/>
    <col min="11274" max="11274" width="13" style="130" customWidth="1"/>
    <col min="11275" max="11275" width="8.88671875" style="130"/>
    <col min="11276" max="11276" width="10.6640625" style="130" bestFit="1" customWidth="1"/>
    <col min="11277" max="11277" width="9.21875" style="130" bestFit="1" customWidth="1"/>
    <col min="11278" max="11521" width="8.88671875" style="130"/>
    <col min="11522" max="11522" width="31.21875" style="130" bestFit="1" customWidth="1"/>
    <col min="11523" max="11524" width="11.5546875" style="130" customWidth="1"/>
    <col min="11525" max="11525" width="18.33203125" style="130" customWidth="1"/>
    <col min="11526" max="11526" width="8.88671875" style="130"/>
    <col min="11527" max="11527" width="18.33203125" style="130" customWidth="1"/>
    <col min="11528" max="11528" width="8.88671875" style="130"/>
    <col min="11529" max="11529" width="27.21875" style="130" bestFit="1" customWidth="1"/>
    <col min="11530" max="11530" width="13" style="130" customWidth="1"/>
    <col min="11531" max="11531" width="8.88671875" style="130"/>
    <col min="11532" max="11532" width="10.6640625" style="130" bestFit="1" customWidth="1"/>
    <col min="11533" max="11533" width="9.21875" style="130" bestFit="1" customWidth="1"/>
    <col min="11534" max="11777" width="8.88671875" style="130"/>
    <col min="11778" max="11778" width="31.21875" style="130" bestFit="1" customWidth="1"/>
    <col min="11779" max="11780" width="11.5546875" style="130" customWidth="1"/>
    <col min="11781" max="11781" width="18.33203125" style="130" customWidth="1"/>
    <col min="11782" max="11782" width="8.88671875" style="130"/>
    <col min="11783" max="11783" width="18.33203125" style="130" customWidth="1"/>
    <col min="11784" max="11784" width="8.88671875" style="130"/>
    <col min="11785" max="11785" width="27.21875" style="130" bestFit="1" customWidth="1"/>
    <col min="11786" max="11786" width="13" style="130" customWidth="1"/>
    <col min="11787" max="11787" width="8.88671875" style="130"/>
    <col min="11788" max="11788" width="10.6640625" style="130" bestFit="1" customWidth="1"/>
    <col min="11789" max="11789" width="9.21875" style="130" bestFit="1" customWidth="1"/>
    <col min="11790" max="12033" width="8.88671875" style="130"/>
    <col min="12034" max="12034" width="31.21875" style="130" bestFit="1" customWidth="1"/>
    <col min="12035" max="12036" width="11.5546875" style="130" customWidth="1"/>
    <col min="12037" max="12037" width="18.33203125" style="130" customWidth="1"/>
    <col min="12038" max="12038" width="8.88671875" style="130"/>
    <col min="12039" max="12039" width="18.33203125" style="130" customWidth="1"/>
    <col min="12040" max="12040" width="8.88671875" style="130"/>
    <col min="12041" max="12041" width="27.21875" style="130" bestFit="1" customWidth="1"/>
    <col min="12042" max="12042" width="13" style="130" customWidth="1"/>
    <col min="12043" max="12043" width="8.88671875" style="130"/>
    <col min="12044" max="12044" width="10.6640625" style="130" bestFit="1" customWidth="1"/>
    <col min="12045" max="12045" width="9.21875" style="130" bestFit="1" customWidth="1"/>
    <col min="12046" max="12289" width="8.88671875" style="130"/>
    <col min="12290" max="12290" width="31.21875" style="130" bestFit="1" customWidth="1"/>
    <col min="12291" max="12292" width="11.5546875" style="130" customWidth="1"/>
    <col min="12293" max="12293" width="18.33203125" style="130" customWidth="1"/>
    <col min="12294" max="12294" width="8.88671875" style="130"/>
    <col min="12295" max="12295" width="18.33203125" style="130" customWidth="1"/>
    <col min="12296" max="12296" width="8.88671875" style="130"/>
    <col min="12297" max="12297" width="27.21875" style="130" bestFit="1" customWidth="1"/>
    <col min="12298" max="12298" width="13" style="130" customWidth="1"/>
    <col min="12299" max="12299" width="8.88671875" style="130"/>
    <col min="12300" max="12300" width="10.6640625" style="130" bestFit="1" customWidth="1"/>
    <col min="12301" max="12301" width="9.21875" style="130" bestFit="1" customWidth="1"/>
    <col min="12302" max="12545" width="8.88671875" style="130"/>
    <col min="12546" max="12546" width="31.21875" style="130" bestFit="1" customWidth="1"/>
    <col min="12547" max="12548" width="11.5546875" style="130" customWidth="1"/>
    <col min="12549" max="12549" width="18.33203125" style="130" customWidth="1"/>
    <col min="12550" max="12550" width="8.88671875" style="130"/>
    <col min="12551" max="12551" width="18.33203125" style="130" customWidth="1"/>
    <col min="12552" max="12552" width="8.88671875" style="130"/>
    <col min="12553" max="12553" width="27.21875" style="130" bestFit="1" customWidth="1"/>
    <col min="12554" max="12554" width="13" style="130" customWidth="1"/>
    <col min="12555" max="12555" width="8.88671875" style="130"/>
    <col min="12556" max="12556" width="10.6640625" style="130" bestFit="1" customWidth="1"/>
    <col min="12557" max="12557" width="9.21875" style="130" bestFit="1" customWidth="1"/>
    <col min="12558" max="12801" width="8.88671875" style="130"/>
    <col min="12802" max="12802" width="31.21875" style="130" bestFit="1" customWidth="1"/>
    <col min="12803" max="12804" width="11.5546875" style="130" customWidth="1"/>
    <col min="12805" max="12805" width="18.33203125" style="130" customWidth="1"/>
    <col min="12806" max="12806" width="8.88671875" style="130"/>
    <col min="12807" max="12807" width="18.33203125" style="130" customWidth="1"/>
    <col min="12808" max="12808" width="8.88671875" style="130"/>
    <col min="12809" max="12809" width="27.21875" style="130" bestFit="1" customWidth="1"/>
    <col min="12810" max="12810" width="13" style="130" customWidth="1"/>
    <col min="12811" max="12811" width="8.88671875" style="130"/>
    <col min="12812" max="12812" width="10.6640625" style="130" bestFit="1" customWidth="1"/>
    <col min="12813" max="12813" width="9.21875" style="130" bestFit="1" customWidth="1"/>
    <col min="12814" max="13057" width="8.88671875" style="130"/>
    <col min="13058" max="13058" width="31.21875" style="130" bestFit="1" customWidth="1"/>
    <col min="13059" max="13060" width="11.5546875" style="130" customWidth="1"/>
    <col min="13061" max="13061" width="18.33203125" style="130" customWidth="1"/>
    <col min="13062" max="13062" width="8.88671875" style="130"/>
    <col min="13063" max="13063" width="18.33203125" style="130" customWidth="1"/>
    <col min="13064" max="13064" width="8.88671875" style="130"/>
    <col min="13065" max="13065" width="27.21875" style="130" bestFit="1" customWidth="1"/>
    <col min="13066" max="13066" width="13" style="130" customWidth="1"/>
    <col min="13067" max="13067" width="8.88671875" style="130"/>
    <col min="13068" max="13068" width="10.6640625" style="130" bestFit="1" customWidth="1"/>
    <col min="13069" max="13069" width="9.21875" style="130" bestFit="1" customWidth="1"/>
    <col min="13070" max="13313" width="8.88671875" style="130"/>
    <col min="13314" max="13314" width="31.21875" style="130" bestFit="1" customWidth="1"/>
    <col min="13315" max="13316" width="11.5546875" style="130" customWidth="1"/>
    <col min="13317" max="13317" width="18.33203125" style="130" customWidth="1"/>
    <col min="13318" max="13318" width="8.88671875" style="130"/>
    <col min="13319" max="13319" width="18.33203125" style="130" customWidth="1"/>
    <col min="13320" max="13320" width="8.88671875" style="130"/>
    <col min="13321" max="13321" width="27.21875" style="130" bestFit="1" customWidth="1"/>
    <col min="13322" max="13322" width="13" style="130" customWidth="1"/>
    <col min="13323" max="13323" width="8.88671875" style="130"/>
    <col min="13324" max="13324" width="10.6640625" style="130" bestFit="1" customWidth="1"/>
    <col min="13325" max="13325" width="9.21875" style="130" bestFit="1" customWidth="1"/>
    <col min="13326" max="13569" width="8.88671875" style="130"/>
    <col min="13570" max="13570" width="31.21875" style="130" bestFit="1" customWidth="1"/>
    <col min="13571" max="13572" width="11.5546875" style="130" customWidth="1"/>
    <col min="13573" max="13573" width="18.33203125" style="130" customWidth="1"/>
    <col min="13574" max="13574" width="8.88671875" style="130"/>
    <col min="13575" max="13575" width="18.33203125" style="130" customWidth="1"/>
    <col min="13576" max="13576" width="8.88671875" style="130"/>
    <col min="13577" max="13577" width="27.21875" style="130" bestFit="1" customWidth="1"/>
    <col min="13578" max="13578" width="13" style="130" customWidth="1"/>
    <col min="13579" max="13579" width="8.88671875" style="130"/>
    <col min="13580" max="13580" width="10.6640625" style="130" bestFit="1" customWidth="1"/>
    <col min="13581" max="13581" width="9.21875" style="130" bestFit="1" customWidth="1"/>
    <col min="13582" max="13825" width="8.88671875" style="130"/>
    <col min="13826" max="13826" width="31.21875" style="130" bestFit="1" customWidth="1"/>
    <col min="13827" max="13828" width="11.5546875" style="130" customWidth="1"/>
    <col min="13829" max="13829" width="18.33203125" style="130" customWidth="1"/>
    <col min="13830" max="13830" width="8.88671875" style="130"/>
    <col min="13831" max="13831" width="18.33203125" style="130" customWidth="1"/>
    <col min="13832" max="13832" width="8.88671875" style="130"/>
    <col min="13833" max="13833" width="27.21875" style="130" bestFit="1" customWidth="1"/>
    <col min="13834" max="13834" width="13" style="130" customWidth="1"/>
    <col min="13835" max="13835" width="8.88671875" style="130"/>
    <col min="13836" max="13836" width="10.6640625" style="130" bestFit="1" customWidth="1"/>
    <col min="13837" max="13837" width="9.21875" style="130" bestFit="1" customWidth="1"/>
    <col min="13838" max="14081" width="8.88671875" style="130"/>
    <col min="14082" max="14082" width="31.21875" style="130" bestFit="1" customWidth="1"/>
    <col min="14083" max="14084" width="11.5546875" style="130" customWidth="1"/>
    <col min="14085" max="14085" width="18.33203125" style="130" customWidth="1"/>
    <col min="14086" max="14086" width="8.88671875" style="130"/>
    <col min="14087" max="14087" width="18.33203125" style="130" customWidth="1"/>
    <col min="14088" max="14088" width="8.88671875" style="130"/>
    <col min="14089" max="14089" width="27.21875" style="130" bestFit="1" customWidth="1"/>
    <col min="14090" max="14090" width="13" style="130" customWidth="1"/>
    <col min="14091" max="14091" width="8.88671875" style="130"/>
    <col min="14092" max="14092" width="10.6640625" style="130" bestFit="1" customWidth="1"/>
    <col min="14093" max="14093" width="9.21875" style="130" bestFit="1" customWidth="1"/>
    <col min="14094" max="14337" width="8.88671875" style="130"/>
    <col min="14338" max="14338" width="31.21875" style="130" bestFit="1" customWidth="1"/>
    <col min="14339" max="14340" width="11.5546875" style="130" customWidth="1"/>
    <col min="14341" max="14341" width="18.33203125" style="130" customWidth="1"/>
    <col min="14342" max="14342" width="8.88671875" style="130"/>
    <col min="14343" max="14343" width="18.33203125" style="130" customWidth="1"/>
    <col min="14344" max="14344" width="8.88671875" style="130"/>
    <col min="14345" max="14345" width="27.21875" style="130" bestFit="1" customWidth="1"/>
    <col min="14346" max="14346" width="13" style="130" customWidth="1"/>
    <col min="14347" max="14347" width="8.88671875" style="130"/>
    <col min="14348" max="14348" width="10.6640625" style="130" bestFit="1" customWidth="1"/>
    <col min="14349" max="14349" width="9.21875" style="130" bestFit="1" customWidth="1"/>
    <col min="14350" max="14593" width="8.88671875" style="130"/>
    <col min="14594" max="14594" width="31.21875" style="130" bestFit="1" customWidth="1"/>
    <col min="14595" max="14596" width="11.5546875" style="130" customWidth="1"/>
    <col min="14597" max="14597" width="18.33203125" style="130" customWidth="1"/>
    <col min="14598" max="14598" width="8.88671875" style="130"/>
    <col min="14599" max="14599" width="18.33203125" style="130" customWidth="1"/>
    <col min="14600" max="14600" width="8.88671875" style="130"/>
    <col min="14601" max="14601" width="27.21875" style="130" bestFit="1" customWidth="1"/>
    <col min="14602" max="14602" width="13" style="130" customWidth="1"/>
    <col min="14603" max="14603" width="8.88671875" style="130"/>
    <col min="14604" max="14604" width="10.6640625" style="130" bestFit="1" customWidth="1"/>
    <col min="14605" max="14605" width="9.21875" style="130" bestFit="1" customWidth="1"/>
    <col min="14606" max="14849" width="8.88671875" style="130"/>
    <col min="14850" max="14850" width="31.21875" style="130" bestFit="1" customWidth="1"/>
    <col min="14851" max="14852" width="11.5546875" style="130" customWidth="1"/>
    <col min="14853" max="14853" width="18.33203125" style="130" customWidth="1"/>
    <col min="14854" max="14854" width="8.88671875" style="130"/>
    <col min="14855" max="14855" width="18.33203125" style="130" customWidth="1"/>
    <col min="14856" max="14856" width="8.88671875" style="130"/>
    <col min="14857" max="14857" width="27.21875" style="130" bestFit="1" customWidth="1"/>
    <col min="14858" max="14858" width="13" style="130" customWidth="1"/>
    <col min="14859" max="14859" width="8.88671875" style="130"/>
    <col min="14860" max="14860" width="10.6640625" style="130" bestFit="1" customWidth="1"/>
    <col min="14861" max="14861" width="9.21875" style="130" bestFit="1" customWidth="1"/>
    <col min="14862" max="15105" width="8.88671875" style="130"/>
    <col min="15106" max="15106" width="31.21875" style="130" bestFit="1" customWidth="1"/>
    <col min="15107" max="15108" width="11.5546875" style="130" customWidth="1"/>
    <col min="15109" max="15109" width="18.33203125" style="130" customWidth="1"/>
    <col min="15110" max="15110" width="8.88671875" style="130"/>
    <col min="15111" max="15111" width="18.33203125" style="130" customWidth="1"/>
    <col min="15112" max="15112" width="8.88671875" style="130"/>
    <col min="15113" max="15113" width="27.21875" style="130" bestFit="1" customWidth="1"/>
    <col min="15114" max="15114" width="13" style="130" customWidth="1"/>
    <col min="15115" max="15115" width="8.88671875" style="130"/>
    <col min="15116" max="15116" width="10.6640625" style="130" bestFit="1" customWidth="1"/>
    <col min="15117" max="15117" width="9.21875" style="130" bestFit="1" customWidth="1"/>
    <col min="15118" max="15361" width="8.88671875" style="130"/>
    <col min="15362" max="15362" width="31.21875" style="130" bestFit="1" customWidth="1"/>
    <col min="15363" max="15364" width="11.5546875" style="130" customWidth="1"/>
    <col min="15365" max="15365" width="18.33203125" style="130" customWidth="1"/>
    <col min="15366" max="15366" width="8.88671875" style="130"/>
    <col min="15367" max="15367" width="18.33203125" style="130" customWidth="1"/>
    <col min="15368" max="15368" width="8.88671875" style="130"/>
    <col min="15369" max="15369" width="27.21875" style="130" bestFit="1" customWidth="1"/>
    <col min="15370" max="15370" width="13" style="130" customWidth="1"/>
    <col min="15371" max="15371" width="8.88671875" style="130"/>
    <col min="15372" max="15372" width="10.6640625" style="130" bestFit="1" customWidth="1"/>
    <col min="15373" max="15373" width="9.21875" style="130" bestFit="1" customWidth="1"/>
    <col min="15374" max="15617" width="8.88671875" style="130"/>
    <col min="15618" max="15618" width="31.21875" style="130" bestFit="1" customWidth="1"/>
    <col min="15619" max="15620" width="11.5546875" style="130" customWidth="1"/>
    <col min="15621" max="15621" width="18.33203125" style="130" customWidth="1"/>
    <col min="15622" max="15622" width="8.88671875" style="130"/>
    <col min="15623" max="15623" width="18.33203125" style="130" customWidth="1"/>
    <col min="15624" max="15624" width="8.88671875" style="130"/>
    <col min="15625" max="15625" width="27.21875" style="130" bestFit="1" customWidth="1"/>
    <col min="15626" max="15626" width="13" style="130" customWidth="1"/>
    <col min="15627" max="15627" width="8.88671875" style="130"/>
    <col min="15628" max="15628" width="10.6640625" style="130" bestFit="1" customWidth="1"/>
    <col min="15629" max="15629" width="9.21875" style="130" bestFit="1" customWidth="1"/>
    <col min="15630" max="15873" width="8.88671875" style="130"/>
    <col min="15874" max="15874" width="31.21875" style="130" bestFit="1" customWidth="1"/>
    <col min="15875" max="15876" width="11.5546875" style="130" customWidth="1"/>
    <col min="15877" max="15877" width="18.33203125" style="130" customWidth="1"/>
    <col min="15878" max="15878" width="8.88671875" style="130"/>
    <col min="15879" max="15879" width="18.33203125" style="130" customWidth="1"/>
    <col min="15880" max="15880" width="8.88671875" style="130"/>
    <col min="15881" max="15881" width="27.21875" style="130" bestFit="1" customWidth="1"/>
    <col min="15882" max="15882" width="13" style="130" customWidth="1"/>
    <col min="15883" max="15883" width="8.88671875" style="130"/>
    <col min="15884" max="15884" width="10.6640625" style="130" bestFit="1" customWidth="1"/>
    <col min="15885" max="15885" width="9.21875" style="130" bestFit="1" customWidth="1"/>
    <col min="15886" max="16129" width="8.88671875" style="130"/>
    <col min="16130" max="16130" width="31.21875" style="130" bestFit="1" customWidth="1"/>
    <col min="16131" max="16132" width="11.5546875" style="130" customWidth="1"/>
    <col min="16133" max="16133" width="18.33203125" style="130" customWidth="1"/>
    <col min="16134" max="16134" width="8.88671875" style="130"/>
    <col min="16135" max="16135" width="18.33203125" style="130" customWidth="1"/>
    <col min="16136" max="16136" width="8.88671875" style="130"/>
    <col min="16137" max="16137" width="27.21875" style="130" bestFit="1" customWidth="1"/>
    <col min="16138" max="16138" width="13" style="130" customWidth="1"/>
    <col min="16139" max="16139" width="8.88671875" style="130"/>
    <col min="16140" max="16140" width="10.6640625" style="130" bestFit="1" customWidth="1"/>
    <col min="16141" max="16141" width="9.21875" style="130" bestFit="1" customWidth="1"/>
    <col min="16142" max="16384" width="8.88671875" style="130"/>
  </cols>
  <sheetData>
    <row r="1" spans="1:14" x14ac:dyDescent="0.3">
      <c r="D1" s="130" t="s">
        <v>39</v>
      </c>
      <c r="E1" s="130" t="s">
        <v>893</v>
      </c>
      <c r="G1" s="130" t="s">
        <v>38</v>
      </c>
      <c r="I1" s="137" t="s">
        <v>894</v>
      </c>
      <c r="J1" s="458">
        <v>0.21</v>
      </c>
      <c r="M1" s="130" t="s">
        <v>1018</v>
      </c>
    </row>
    <row r="2" spans="1:14" x14ac:dyDescent="0.3">
      <c r="D2" s="130" t="s">
        <v>15</v>
      </c>
      <c r="E2" s="418">
        <v>25.03</v>
      </c>
      <c r="I2" s="138"/>
      <c r="N2" s="130" t="s">
        <v>1800</v>
      </c>
    </row>
    <row r="3" spans="1:14" x14ac:dyDescent="0.3">
      <c r="A3" s="113" t="s">
        <v>772</v>
      </c>
      <c r="B3" s="113" t="s">
        <v>797</v>
      </c>
      <c r="C3" s="139" t="str">
        <f>MID(A3,1,3)</f>
        <v>067</v>
      </c>
      <c r="D3" s="140">
        <f>'TB IFRS'!J4</f>
        <v>30572302.930000003</v>
      </c>
      <c r="E3" s="141">
        <f>D3*$E$2</f>
        <v>765224742.33790016</v>
      </c>
      <c r="F3" s="141"/>
      <c r="G3" s="141">
        <f>'TB CAS'!J4</f>
        <v>759649692.85000002</v>
      </c>
      <c r="I3" s="142"/>
    </row>
    <row r="4" spans="1:14" x14ac:dyDescent="0.3">
      <c r="A4" s="143"/>
      <c r="B4" s="143"/>
      <c r="C4" s="139"/>
      <c r="D4" s="140"/>
      <c r="E4" s="141"/>
      <c r="F4" s="141"/>
      <c r="G4" s="141"/>
      <c r="I4" s="142"/>
    </row>
    <row r="5" spans="1:14" x14ac:dyDescent="0.3">
      <c r="A5" s="143"/>
      <c r="B5" s="143"/>
      <c r="C5" s="144">
        <v>67</v>
      </c>
      <c r="D5" s="145"/>
      <c r="E5" s="146">
        <f>SUM(E3:E4)</f>
        <v>765224742.33790016</v>
      </c>
      <c r="F5" s="146"/>
      <c r="G5" s="146">
        <f>SUM(G3:G4)</f>
        <v>759649692.85000002</v>
      </c>
      <c r="I5" s="185">
        <f>G5-E5</f>
        <v>-5575049.4879001379</v>
      </c>
      <c r="J5" s="186">
        <f>I5*$J$1</f>
        <v>-1170760.3924590289</v>
      </c>
      <c r="L5" s="141" t="s">
        <v>1011</v>
      </c>
      <c r="M5" s="141">
        <f>J5/$E$2</f>
        <v>-46774.28655449576</v>
      </c>
      <c r="N5" s="141">
        <f>I5/$E$2</f>
        <v>-222734.69787855123</v>
      </c>
    </row>
    <row r="6" spans="1:14" x14ac:dyDescent="0.3">
      <c r="A6" s="143"/>
      <c r="B6" s="143"/>
      <c r="C6" s="139"/>
      <c r="D6" s="140"/>
      <c r="E6" s="141"/>
      <c r="F6" s="141"/>
      <c r="G6" s="141"/>
      <c r="I6" s="185"/>
      <c r="J6" s="186"/>
      <c r="L6" s="141"/>
      <c r="M6" s="141"/>
      <c r="N6" s="141"/>
    </row>
    <row r="7" spans="1:14" x14ac:dyDescent="0.3">
      <c r="A7" s="143" t="s">
        <v>529</v>
      </c>
      <c r="B7" s="143" t="s">
        <v>895</v>
      </c>
      <c r="C7" s="144" t="str">
        <f>MID(A7,1,3)</f>
        <v>381</v>
      </c>
      <c r="D7" s="145"/>
      <c r="E7" s="146">
        <f t="shared" ref="E7:E15" si="0">D7*$E$2</f>
        <v>0</v>
      </c>
      <c r="F7" s="146"/>
      <c r="G7" s="148">
        <f>'TB CAS'!J16</f>
        <v>4388706.9400000004</v>
      </c>
      <c r="I7" s="185">
        <f>G7-E7</f>
        <v>4388706.9400000004</v>
      </c>
      <c r="J7" s="186">
        <f>I7*$J$1</f>
        <v>921628.45740000007</v>
      </c>
      <c r="L7" s="141" t="s">
        <v>1011</v>
      </c>
      <c r="M7" s="141">
        <f t="shared" ref="M7:M16" si="1">J7/$E$2</f>
        <v>36820.953152217342</v>
      </c>
      <c r="N7" s="141">
        <f>I7/$E$2</f>
        <v>175337.8721534159</v>
      </c>
    </row>
    <row r="8" spans="1:14" x14ac:dyDescent="0.3">
      <c r="A8" s="143"/>
      <c r="B8" s="143"/>
      <c r="C8" s="144"/>
      <c r="D8" s="145"/>
      <c r="E8" s="146"/>
      <c r="F8" s="146"/>
      <c r="G8" s="148"/>
      <c r="I8" s="185"/>
      <c r="J8" s="186"/>
      <c r="L8" s="141"/>
      <c r="M8" s="141"/>
      <c r="N8" s="141"/>
    </row>
    <row r="9" spans="1:14" x14ac:dyDescent="0.3">
      <c r="A9" s="131" t="s">
        <v>917</v>
      </c>
      <c r="B9" s="131" t="s">
        <v>929</v>
      </c>
      <c r="C9" s="144" t="str">
        <f>MID(A9,1,3)</f>
        <v>384</v>
      </c>
      <c r="D9" s="145"/>
      <c r="E9" s="146">
        <f t="shared" ref="E9" si="2">D9*$E$2</f>
        <v>0</v>
      </c>
      <c r="F9" s="146"/>
      <c r="G9" s="148">
        <f>'TB CAS'!J17</f>
        <v>-1213912.56</v>
      </c>
      <c r="I9" s="185">
        <f>G9-E9</f>
        <v>-1213912.56</v>
      </c>
      <c r="J9" s="186">
        <f>I9*$J$1</f>
        <v>-254921.63760000002</v>
      </c>
      <c r="L9" s="141" t="s">
        <v>1012</v>
      </c>
      <c r="M9" s="141">
        <f t="shared" si="1"/>
        <v>-10184.64393128246</v>
      </c>
      <c r="N9" s="141">
        <f>I9/$E$2</f>
        <v>-48498.304434678386</v>
      </c>
    </row>
    <row r="10" spans="1:14" x14ac:dyDescent="0.3">
      <c r="A10" s="143"/>
      <c r="B10" s="143"/>
      <c r="C10" s="144"/>
      <c r="D10" s="145"/>
      <c r="E10" s="146"/>
      <c r="F10" s="146"/>
      <c r="G10" s="148"/>
      <c r="I10" s="185"/>
      <c r="J10" s="186"/>
      <c r="L10" s="141"/>
      <c r="M10" s="141"/>
      <c r="N10" s="141"/>
    </row>
    <row r="11" spans="1:14" x14ac:dyDescent="0.3">
      <c r="A11" s="143"/>
      <c r="B11" s="143"/>
      <c r="C11" s="139"/>
      <c r="D11" s="140"/>
      <c r="E11" s="141"/>
      <c r="F11" s="141"/>
      <c r="G11" s="141"/>
      <c r="I11" s="185"/>
      <c r="J11" s="186"/>
      <c r="L11" s="141"/>
      <c r="M11" s="141"/>
      <c r="N11" s="141"/>
    </row>
    <row r="12" spans="1:14" x14ac:dyDescent="0.3">
      <c r="A12" s="121" t="s">
        <v>816</v>
      </c>
      <c r="B12" s="121" t="s">
        <v>817</v>
      </c>
      <c r="C12" s="139" t="str">
        <f>MID(A12,1,3)</f>
        <v>473</v>
      </c>
      <c r="D12" s="140">
        <f>'TB IFRS'!J20</f>
        <v>-30000000</v>
      </c>
      <c r="E12" s="141">
        <f t="shared" si="0"/>
        <v>-750900000</v>
      </c>
      <c r="F12" s="141"/>
      <c r="G12" s="141">
        <f>'TB CAS'!J22</f>
        <v>-741750000</v>
      </c>
      <c r="I12" s="185"/>
      <c r="J12" s="186"/>
      <c r="L12" s="141"/>
      <c r="M12" s="141"/>
      <c r="N12" s="141"/>
    </row>
    <row r="13" spans="1:14" x14ac:dyDescent="0.3">
      <c r="A13" s="121" t="s">
        <v>818</v>
      </c>
      <c r="B13" s="121" t="s">
        <v>819</v>
      </c>
      <c r="C13" s="139" t="str">
        <f t="shared" ref="C13:C15" si="3">MID(A13,1,3)</f>
        <v>473</v>
      </c>
      <c r="D13" s="140">
        <f>'TB IFRS'!J21</f>
        <v>-961229.21999999986</v>
      </c>
      <c r="E13" s="141">
        <f t="shared" si="0"/>
        <v>-24059567.376599997</v>
      </c>
      <c r="F13" s="141"/>
      <c r="G13" s="141">
        <f>'TB CAS'!J23</f>
        <v>-20902350</v>
      </c>
      <c r="I13" s="185"/>
      <c r="J13" s="186"/>
      <c r="L13" s="141"/>
      <c r="M13" s="141"/>
      <c r="N13" s="141"/>
    </row>
    <row r="14" spans="1:14" x14ac:dyDescent="0.3">
      <c r="A14" s="121" t="s">
        <v>820</v>
      </c>
      <c r="B14" s="121" t="s">
        <v>821</v>
      </c>
      <c r="C14" s="139" t="str">
        <f t="shared" si="3"/>
        <v>473</v>
      </c>
      <c r="D14" s="140">
        <f>'TB IFRS'!J22</f>
        <v>-101100</v>
      </c>
      <c r="E14" s="141">
        <f t="shared" si="0"/>
        <v>-2530533</v>
      </c>
      <c r="F14" s="141"/>
      <c r="G14" s="141"/>
      <c r="I14" s="185"/>
      <c r="J14" s="186"/>
      <c r="L14" s="141"/>
      <c r="M14" s="141"/>
      <c r="N14" s="141"/>
    </row>
    <row r="15" spans="1:14" x14ac:dyDescent="0.3">
      <c r="A15" s="121" t="s">
        <v>822</v>
      </c>
      <c r="B15" s="121" t="s">
        <v>823</v>
      </c>
      <c r="C15" s="139" t="str">
        <f t="shared" si="3"/>
        <v>473</v>
      </c>
      <c r="D15" s="140">
        <f>'TB IFRS'!J23</f>
        <v>365513.91200951248</v>
      </c>
      <c r="E15" s="141">
        <f t="shared" si="0"/>
        <v>9148813.2175980974</v>
      </c>
      <c r="F15" s="141"/>
      <c r="G15" s="141"/>
      <c r="I15" s="185"/>
      <c r="J15" s="186"/>
      <c r="L15" s="141"/>
      <c r="M15" s="141"/>
      <c r="N15" s="141"/>
    </row>
    <row r="16" spans="1:14" x14ac:dyDescent="0.3">
      <c r="C16" s="149">
        <v>473</v>
      </c>
      <c r="D16" s="149"/>
      <c r="E16" s="148">
        <f>SUM(E12:E15)</f>
        <v>-768341287.15900195</v>
      </c>
      <c r="F16" s="149"/>
      <c r="G16" s="148">
        <f>SUM(G12:G14)</f>
        <v>-762652350</v>
      </c>
      <c r="I16" s="185">
        <f>G16-E16</f>
        <v>5688937.1590019464</v>
      </c>
      <c r="J16" s="186">
        <f>I16*$J$1</f>
        <v>1194676.8033904086</v>
      </c>
      <c r="L16" s="141" t="s">
        <v>1012</v>
      </c>
      <c r="M16" s="141">
        <f t="shared" si="1"/>
        <v>47729.796379960389</v>
      </c>
      <c r="N16" s="141">
        <f>I16/$E$2</f>
        <v>227284.74466647807</v>
      </c>
    </row>
    <row r="17" spans="2:13" x14ac:dyDescent="0.3">
      <c r="C17" s="149"/>
      <c r="D17" s="149"/>
      <c r="E17" s="148"/>
      <c r="F17" s="149"/>
      <c r="G17" s="148"/>
      <c r="I17" s="185"/>
      <c r="J17" s="186"/>
      <c r="L17" s="141"/>
      <c r="M17" s="141"/>
    </row>
    <row r="18" spans="2:13" x14ac:dyDescent="0.3">
      <c r="B18" s="130" t="s">
        <v>1269</v>
      </c>
      <c r="C18" s="149"/>
      <c r="D18" s="149"/>
      <c r="E18" s="148"/>
      <c r="F18" s="149"/>
      <c r="G18" s="148"/>
      <c r="I18" s="185"/>
      <c r="J18" s="186">
        <f>G18*0.19</f>
        <v>0</v>
      </c>
      <c r="L18" s="141" t="s">
        <v>1012</v>
      </c>
      <c r="M18" s="141"/>
    </row>
    <row r="19" spans="2:13" x14ac:dyDescent="0.3">
      <c r="I19" s="141"/>
      <c r="J19" s="141"/>
      <c r="L19" s="141"/>
      <c r="M19" s="141"/>
    </row>
    <row r="20" spans="2:13" x14ac:dyDescent="0.3">
      <c r="J20" s="141"/>
      <c r="L20" s="141"/>
      <c r="M20" s="141"/>
    </row>
    <row r="21" spans="2:13" x14ac:dyDescent="0.3">
      <c r="E21" s="141" t="s">
        <v>932</v>
      </c>
      <c r="F21" s="130" t="s">
        <v>1455</v>
      </c>
      <c r="G21" s="141">
        <f>-'TB CAS'!J42</f>
        <v>29521.65000000404</v>
      </c>
      <c r="H21" s="130" t="s">
        <v>1596</v>
      </c>
      <c r="I21" s="150" t="s">
        <v>896</v>
      </c>
      <c r="J21" s="151">
        <f>SUM(J5:J18)</f>
        <v>690623.23073137982</v>
      </c>
      <c r="L21" s="141"/>
      <c r="M21" s="141"/>
    </row>
    <row r="22" spans="2:13" x14ac:dyDescent="0.3">
      <c r="E22" s="130" t="s">
        <v>1015</v>
      </c>
      <c r="F22" s="130" t="s">
        <v>1455</v>
      </c>
      <c r="G22" s="141">
        <f>-'TB IFRS'!J42</f>
        <v>29879.911013078825</v>
      </c>
      <c r="H22" s="130" t="s">
        <v>15</v>
      </c>
      <c r="I22" s="152" t="s">
        <v>1470</v>
      </c>
      <c r="J22" s="153">
        <f>J21/E2</f>
        <v>27591.819046399512</v>
      </c>
      <c r="K22" s="154" t="s">
        <v>1266</v>
      </c>
      <c r="L22" s="154"/>
    </row>
    <row r="24" spans="2:13" x14ac:dyDescent="0.3">
      <c r="G24" s="141"/>
      <c r="I24" s="187" t="s">
        <v>1786</v>
      </c>
      <c r="J24" s="147">
        <f>'TB IFRS'!C24</f>
        <v>33562.99</v>
      </c>
      <c r="L24" s="154"/>
    </row>
    <row r="26" spans="2:13" x14ac:dyDescent="0.3">
      <c r="I26" s="152" t="s">
        <v>1268</v>
      </c>
      <c r="J26" s="153">
        <f>J24-J22</f>
        <v>5971.1709536004855</v>
      </c>
      <c r="K26" s="154" t="s">
        <v>1267</v>
      </c>
    </row>
    <row r="28" spans="2:13" x14ac:dyDescent="0.3">
      <c r="B28" s="155"/>
      <c r="C28" s="156"/>
      <c r="D28" s="156"/>
      <c r="E28" s="156"/>
    </row>
    <row r="30" spans="2:13" x14ac:dyDescent="0.3">
      <c r="B30" s="157" t="s">
        <v>897</v>
      </c>
      <c r="C30" s="158" t="s">
        <v>16</v>
      </c>
      <c r="D30" s="159" t="s">
        <v>15</v>
      </c>
    </row>
    <row r="31" spans="2:13" x14ac:dyDescent="0.3">
      <c r="B31" s="154" t="s">
        <v>898</v>
      </c>
      <c r="C31" s="160">
        <f>G21</f>
        <v>29521.65000000404</v>
      </c>
      <c r="D31" s="141">
        <f t="shared" ref="D31:D33" si="4">C31/$E$2</f>
        <v>1179.4506592091107</v>
      </c>
    </row>
    <row r="32" spans="2:13" x14ac:dyDescent="0.3">
      <c r="B32" s="154" t="s">
        <v>899</v>
      </c>
      <c r="C32" s="160"/>
      <c r="D32" s="141">
        <f t="shared" si="4"/>
        <v>0</v>
      </c>
    </row>
    <row r="33" spans="2:7" x14ac:dyDescent="0.3">
      <c r="C33" s="160">
        <f>FLOOR(SUM(C31:C32),1000)</f>
        <v>29000</v>
      </c>
      <c r="D33" s="141">
        <f t="shared" si="4"/>
        <v>1158.6096683979224</v>
      </c>
    </row>
    <row r="34" spans="2:7" x14ac:dyDescent="0.3">
      <c r="B34" s="152" t="s">
        <v>1471</v>
      </c>
      <c r="C34" s="161">
        <f>C33*0.19</f>
        <v>5510</v>
      </c>
      <c r="D34" s="153">
        <f>C34/$E$2</f>
        <v>220.13583699560527</v>
      </c>
      <c r="E34" s="137" t="s">
        <v>900</v>
      </c>
    </row>
    <row r="37" spans="2:7" x14ac:dyDescent="0.3">
      <c r="B37" s="152" t="s">
        <v>901</v>
      </c>
      <c r="C37" s="152"/>
      <c r="D37" s="153">
        <f>D34+J26</f>
        <v>6191.3067905960907</v>
      </c>
    </row>
    <row r="41" spans="2:7" x14ac:dyDescent="0.3">
      <c r="B41" s="162" t="s">
        <v>902</v>
      </c>
      <c r="C41" s="154"/>
      <c r="D41" s="154"/>
      <c r="E41" s="154"/>
    </row>
    <row r="42" spans="2:7" x14ac:dyDescent="0.3">
      <c r="B42" s="163" t="s">
        <v>1597</v>
      </c>
      <c r="C42" s="154"/>
      <c r="D42" s="154"/>
      <c r="E42" s="154"/>
    </row>
    <row r="43" spans="2:7" x14ac:dyDescent="0.3">
      <c r="B43" s="164" t="s">
        <v>50</v>
      </c>
      <c r="C43" s="156" t="s">
        <v>903</v>
      </c>
      <c r="D43" s="156" t="s">
        <v>904</v>
      </c>
      <c r="E43" s="156" t="s">
        <v>905</v>
      </c>
    </row>
    <row r="44" spans="2:7" x14ac:dyDescent="0.25">
      <c r="B44" s="165" t="s">
        <v>906</v>
      </c>
      <c r="C44" s="274">
        <f>-'TB IFRS'!J42/1000</f>
        <v>29.879911013078825</v>
      </c>
      <c r="D44" s="167">
        <v>0.21</v>
      </c>
      <c r="E44" s="274">
        <f>C44*D44</f>
        <v>6.274781312746553</v>
      </c>
    </row>
    <row r="45" spans="2:7" ht="24.6" customHeight="1" x14ac:dyDescent="0.25">
      <c r="B45" s="165" t="s">
        <v>907</v>
      </c>
      <c r="C45" s="274"/>
      <c r="D45" s="167">
        <v>0.21</v>
      </c>
      <c r="E45" s="274">
        <f>C45*D45</f>
        <v>0</v>
      </c>
    </row>
    <row r="46" spans="2:7" x14ac:dyDescent="0.25">
      <c r="B46" s="165" t="s">
        <v>908</v>
      </c>
      <c r="C46" s="181">
        <f>C61</f>
        <v>-131.38961450666437</v>
      </c>
      <c r="D46" s="167">
        <v>0.21</v>
      </c>
      <c r="E46" s="181">
        <f>C46*D46</f>
        <v>-27.591819046399518</v>
      </c>
      <c r="G46" s="169"/>
    </row>
    <row r="47" spans="2:7" x14ac:dyDescent="0.3">
      <c r="B47" s="165" t="s">
        <v>909</v>
      </c>
      <c r="C47" s="170">
        <f>D33/1000</f>
        <v>1.1586096683979223</v>
      </c>
      <c r="D47" s="171">
        <v>0.21</v>
      </c>
      <c r="E47" s="172">
        <f>D34/1000</f>
        <v>0.22013583699560527</v>
      </c>
    </row>
    <row r="48" spans="2:7" x14ac:dyDescent="0.3">
      <c r="B48" s="155"/>
      <c r="C48" s="166"/>
      <c r="D48" s="173"/>
      <c r="E48" s="168"/>
    </row>
    <row r="49" spans="2:5" ht="15" thickBot="1" x14ac:dyDescent="0.3">
      <c r="B49" s="174" t="s">
        <v>902</v>
      </c>
      <c r="C49" s="182">
        <f>C44</f>
        <v>29.879911013078825</v>
      </c>
      <c r="D49" s="175">
        <f>E49/C49</f>
        <v>0.2072063329735512</v>
      </c>
      <c r="E49" s="176">
        <f>D37/1000</f>
        <v>6.1913067905960908</v>
      </c>
    </row>
    <row r="50" spans="2:5" ht="15" thickTop="1" x14ac:dyDescent="0.3"/>
    <row r="52" spans="2:5" x14ac:dyDescent="0.3">
      <c r="B52" s="130" t="s">
        <v>1006</v>
      </c>
    </row>
    <row r="53" spans="2:5" ht="25.2" x14ac:dyDescent="0.3">
      <c r="B53" s="163" t="s">
        <v>1597</v>
      </c>
      <c r="C53" s="177" t="s">
        <v>910</v>
      </c>
      <c r="D53" s="177" t="s">
        <v>911</v>
      </c>
      <c r="E53" s="177" t="s">
        <v>912</v>
      </c>
    </row>
    <row r="54" spans="2:5" x14ac:dyDescent="0.3">
      <c r="B54" s="164" t="s">
        <v>50</v>
      </c>
      <c r="C54" s="178"/>
      <c r="D54" s="178"/>
      <c r="E54" s="178"/>
    </row>
    <row r="55" spans="2:5" x14ac:dyDescent="0.3">
      <c r="B55" s="163" t="s">
        <v>913</v>
      </c>
      <c r="C55" s="179"/>
    </row>
    <row r="56" spans="2:5" ht="25.2" x14ac:dyDescent="0.25">
      <c r="B56" s="165" t="s">
        <v>933</v>
      </c>
      <c r="C56" s="274">
        <f>-I5/$E$2/1000</f>
        <v>222.73469787855123</v>
      </c>
      <c r="D56" s="180">
        <v>0.21</v>
      </c>
      <c r="E56" s="274">
        <f>C56*D56</f>
        <v>46.77428655449576</v>
      </c>
    </row>
    <row r="57" spans="2:5" x14ac:dyDescent="0.25">
      <c r="B57" s="165" t="s">
        <v>914</v>
      </c>
      <c r="C57" s="274">
        <f>-I7/E2/1000</f>
        <v>-175.3378721534159</v>
      </c>
      <c r="D57" s="180">
        <v>0.21</v>
      </c>
      <c r="E57" s="274">
        <f t="shared" ref="E57" si="5">C57*D57</f>
        <v>-36.820953152217335</v>
      </c>
    </row>
    <row r="58" spans="2:5" x14ac:dyDescent="0.25">
      <c r="B58" s="165" t="s">
        <v>929</v>
      </c>
      <c r="C58" s="274">
        <f>-I9/E2/1000</f>
        <v>48.498304434678388</v>
      </c>
      <c r="D58" s="180">
        <v>0.21</v>
      </c>
      <c r="E58" s="274">
        <f t="shared" ref="E58:E59" si="6">C58*D58</f>
        <v>10.18464393128246</v>
      </c>
    </row>
    <row r="59" spans="2:5" ht="25.2" x14ac:dyDescent="0.25">
      <c r="B59" s="165" t="s">
        <v>915</v>
      </c>
      <c r="C59" s="274">
        <f>-I16/E2/1000</f>
        <v>-227.28474466647808</v>
      </c>
      <c r="D59" s="180">
        <v>0.21</v>
      </c>
      <c r="E59" s="274">
        <f t="shared" si="6"/>
        <v>-47.729796379960398</v>
      </c>
    </row>
    <row r="60" spans="2:5" x14ac:dyDescent="0.25">
      <c r="B60" s="165" t="s">
        <v>1269</v>
      </c>
      <c r="C60" s="274">
        <f>-G18/E2/1000</f>
        <v>0</v>
      </c>
      <c r="D60" s="180">
        <v>0.21</v>
      </c>
      <c r="E60" s="274">
        <f t="shared" ref="E60" si="7">C60*D60</f>
        <v>0</v>
      </c>
    </row>
    <row r="61" spans="2:5" ht="15" thickBot="1" x14ac:dyDescent="0.3">
      <c r="B61" s="163" t="s">
        <v>43</v>
      </c>
      <c r="C61" s="182">
        <f>SUM(C56:C60)</f>
        <v>-131.38961450666437</v>
      </c>
      <c r="D61" s="183">
        <v>0.21</v>
      </c>
      <c r="E61" s="182">
        <f>SUM(E56:E60)</f>
        <v>-27.591819046399515</v>
      </c>
    </row>
    <row r="62" spans="2:5" ht="15" thickTop="1" x14ac:dyDescent="0.25">
      <c r="C62" s="184"/>
      <c r="D62" s="424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A5200-90E6-42C5-BD1F-51238FF31627}">
  <sheetPr codeName="List12"/>
  <dimension ref="A1:AB5"/>
  <sheetViews>
    <sheetView workbookViewId="0">
      <selection activeCell="C5" sqref="C4:C5"/>
    </sheetView>
  </sheetViews>
  <sheetFormatPr defaultRowHeight="14.4" x14ac:dyDescent="0.3"/>
  <cols>
    <col min="6" max="6" width="12.33203125" bestFit="1" customWidth="1"/>
  </cols>
  <sheetData>
    <row r="1" spans="1:28" x14ac:dyDescent="0.3">
      <c r="A1" s="390" t="s">
        <v>886</v>
      </c>
      <c r="B1" s="123" t="s">
        <v>887</v>
      </c>
      <c r="C1" s="124" t="s">
        <v>888</v>
      </c>
      <c r="D1" s="421" t="s">
        <v>522</v>
      </c>
      <c r="E1" s="404" t="s">
        <v>839</v>
      </c>
      <c r="F1" s="421" t="s">
        <v>528</v>
      </c>
      <c r="G1" s="421" t="s">
        <v>840</v>
      </c>
      <c r="H1" s="404" t="s">
        <v>14</v>
      </c>
      <c r="I1" s="404" t="s">
        <v>841</v>
      </c>
      <c r="J1" s="419" t="s">
        <v>58</v>
      </c>
      <c r="K1" s="420" t="s">
        <v>524</v>
      </c>
      <c r="L1" s="420" t="s">
        <v>523</v>
      </c>
      <c r="M1" s="420" t="s">
        <v>526</v>
      </c>
      <c r="N1" s="420" t="s">
        <v>525</v>
      </c>
      <c r="O1" s="420" t="s">
        <v>842</v>
      </c>
      <c r="P1" s="420" t="s">
        <v>843</v>
      </c>
      <c r="Q1" s="420" t="s">
        <v>844</v>
      </c>
      <c r="R1" s="420" t="s">
        <v>845</v>
      </c>
      <c r="S1" s="405" t="s">
        <v>14</v>
      </c>
      <c r="T1" s="420" t="s">
        <v>42</v>
      </c>
      <c r="U1" s="420" t="s">
        <v>527</v>
      </c>
      <c r="V1" s="420" t="s">
        <v>846</v>
      </c>
      <c r="W1" s="420" t="s">
        <v>847</v>
      </c>
      <c r="X1" s="420" t="s">
        <v>848</v>
      </c>
      <c r="Y1" s="420" t="s">
        <v>849</v>
      </c>
      <c r="Z1" s="420" t="s">
        <v>850</v>
      </c>
      <c r="AA1" s="420" t="s">
        <v>851</v>
      </c>
      <c r="AB1" s="420" t="s">
        <v>852</v>
      </c>
    </row>
    <row r="2" spans="1:28" x14ac:dyDescent="0.3">
      <c r="A2" s="391">
        <v>24.114999999999998</v>
      </c>
      <c r="B2" s="125">
        <v>-13487.37010159652</v>
      </c>
      <c r="C2" s="126">
        <v>-13487.369999999999</v>
      </c>
      <c r="D2" s="428" t="s">
        <v>810</v>
      </c>
      <c r="E2" s="429" t="s">
        <v>853</v>
      </c>
      <c r="F2" s="430">
        <v>-325247.93000000005</v>
      </c>
      <c r="G2" s="430">
        <v>-13487.369999999999</v>
      </c>
      <c r="H2" s="429" t="s">
        <v>15</v>
      </c>
      <c r="I2" s="429" t="s">
        <v>874</v>
      </c>
      <c r="J2" s="336" t="s">
        <v>1354</v>
      </c>
      <c r="K2" s="405" t="s">
        <v>865</v>
      </c>
      <c r="L2" s="336" t="s">
        <v>1448</v>
      </c>
      <c r="M2" s="336" t="s">
        <v>1449</v>
      </c>
      <c r="N2" s="403"/>
      <c r="O2" s="336" t="s">
        <v>1000</v>
      </c>
      <c r="P2" s="336" t="s">
        <v>810</v>
      </c>
      <c r="Q2" s="408">
        <v>325247.93000000005</v>
      </c>
      <c r="R2" s="408">
        <v>13487.369999999999</v>
      </c>
      <c r="S2" s="405" t="s">
        <v>15</v>
      </c>
      <c r="T2" s="405" t="s">
        <v>1356</v>
      </c>
      <c r="U2" s="336" t="s">
        <v>881</v>
      </c>
      <c r="V2" s="403"/>
      <c r="W2" s="403"/>
      <c r="X2" s="403"/>
      <c r="Y2" s="403"/>
      <c r="Z2" s="403"/>
      <c r="AA2" s="403"/>
      <c r="AB2" s="408">
        <v>325247.93000000005</v>
      </c>
    </row>
    <row r="3" spans="1:28" x14ac:dyDescent="0.3">
      <c r="A3" s="391">
        <v>23.56</v>
      </c>
      <c r="B3" s="125">
        <v>13805.093378607811</v>
      </c>
      <c r="C3" s="126">
        <v>13805.093378607811</v>
      </c>
      <c r="D3" s="407" t="s">
        <v>810</v>
      </c>
      <c r="E3" s="404" t="s">
        <v>855</v>
      </c>
      <c r="F3" s="406">
        <v>325248</v>
      </c>
      <c r="G3" s="406">
        <v>0</v>
      </c>
      <c r="H3" s="403"/>
      <c r="I3" s="404" t="s">
        <v>1103</v>
      </c>
      <c r="J3" s="336" t="s">
        <v>1504</v>
      </c>
      <c r="K3" s="405" t="s">
        <v>856</v>
      </c>
      <c r="L3" s="336" t="s">
        <v>1505</v>
      </c>
      <c r="M3" s="336" t="s">
        <v>1349</v>
      </c>
      <c r="N3" s="336" t="s">
        <v>1482</v>
      </c>
      <c r="O3" s="336" t="s">
        <v>810</v>
      </c>
      <c r="P3" s="336" t="s">
        <v>802</v>
      </c>
      <c r="Q3" s="408">
        <v>325248</v>
      </c>
      <c r="R3" s="408">
        <v>0</v>
      </c>
      <c r="S3" s="403"/>
      <c r="T3" s="403"/>
      <c r="U3" s="336" t="s">
        <v>1506</v>
      </c>
      <c r="V3" s="403"/>
      <c r="W3" s="403"/>
      <c r="X3" s="403"/>
      <c r="Y3" s="403"/>
      <c r="Z3" s="403"/>
      <c r="AA3" s="408">
        <v>325248</v>
      </c>
      <c r="AB3" s="403"/>
    </row>
    <row r="4" spans="1:28" x14ac:dyDescent="0.3">
      <c r="A4" s="391">
        <v>23.73</v>
      </c>
      <c r="B4" s="125">
        <v>-1761.7597977243993</v>
      </c>
      <c r="C4" s="126">
        <v>-1761.76</v>
      </c>
      <c r="D4" s="407" t="s">
        <v>810</v>
      </c>
      <c r="E4" s="404" t="s">
        <v>853</v>
      </c>
      <c r="F4" s="406">
        <v>-41806.559999999998</v>
      </c>
      <c r="G4" s="406">
        <v>-1761.76</v>
      </c>
      <c r="H4" s="404" t="s">
        <v>15</v>
      </c>
      <c r="I4" s="404" t="s">
        <v>1125</v>
      </c>
      <c r="J4" s="336" t="s">
        <v>1515</v>
      </c>
      <c r="K4" s="405" t="s">
        <v>865</v>
      </c>
      <c r="L4" s="336" t="s">
        <v>1531</v>
      </c>
      <c r="M4" s="336" t="s">
        <v>1532</v>
      </c>
      <c r="N4" s="403"/>
      <c r="O4" s="336" t="s">
        <v>826</v>
      </c>
      <c r="P4" s="336" t="s">
        <v>810</v>
      </c>
      <c r="Q4" s="408">
        <v>41806.559999999998</v>
      </c>
      <c r="R4" s="408">
        <v>1761.76</v>
      </c>
      <c r="S4" s="405" t="s">
        <v>15</v>
      </c>
      <c r="T4" s="405" t="s">
        <v>1516</v>
      </c>
      <c r="U4" s="336" t="s">
        <v>1533</v>
      </c>
      <c r="V4" s="403"/>
      <c r="W4" s="403"/>
      <c r="X4" s="403"/>
      <c r="Y4" s="403"/>
      <c r="Z4" s="403"/>
      <c r="AA4" s="403"/>
      <c r="AB4" s="408">
        <v>41806.559999999998</v>
      </c>
    </row>
    <row r="5" spans="1:28" x14ac:dyDescent="0.3">
      <c r="A5" s="391">
        <v>24.34</v>
      </c>
      <c r="B5" s="125">
        <v>2527.1400986031222</v>
      </c>
      <c r="C5" s="126">
        <v>2516.8000000000002</v>
      </c>
      <c r="D5" s="435" t="s">
        <v>810</v>
      </c>
      <c r="E5" s="432" t="s">
        <v>855</v>
      </c>
      <c r="F5" s="434">
        <v>61510.59</v>
      </c>
      <c r="G5" s="434">
        <v>2516.8000000000002</v>
      </c>
      <c r="H5" s="432" t="s">
        <v>15</v>
      </c>
      <c r="I5" s="432" t="s">
        <v>1305</v>
      </c>
      <c r="J5" s="121" t="s">
        <v>1541</v>
      </c>
      <c r="K5" s="433" t="s">
        <v>856</v>
      </c>
      <c r="L5" s="121" t="s">
        <v>1542</v>
      </c>
      <c r="M5" s="121" t="s">
        <v>1543</v>
      </c>
      <c r="N5" s="121" t="s">
        <v>1483</v>
      </c>
      <c r="O5" s="121" t="s">
        <v>810</v>
      </c>
      <c r="P5" s="121" t="s">
        <v>802</v>
      </c>
      <c r="Q5" s="111">
        <v>61510.59</v>
      </c>
      <c r="R5" s="111">
        <v>2516.8000000000002</v>
      </c>
      <c r="S5" s="433" t="s">
        <v>15</v>
      </c>
      <c r="T5" s="433" t="s">
        <v>1544</v>
      </c>
      <c r="U5" s="121" t="s">
        <v>1545</v>
      </c>
      <c r="V5" s="108"/>
      <c r="W5" s="108"/>
      <c r="X5" s="108"/>
      <c r="Y5" s="108"/>
      <c r="Z5" s="108"/>
      <c r="AA5" s="111">
        <v>61510.59</v>
      </c>
      <c r="AB5" s="108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40DD-6770-494C-9822-B48A95749105}">
  <sheetPr codeName="List4"/>
  <dimension ref="A1:AB33"/>
  <sheetViews>
    <sheetView workbookViewId="0">
      <selection activeCell="C27" sqref="C27"/>
    </sheetView>
  </sheetViews>
  <sheetFormatPr defaultRowHeight="14.4" x14ac:dyDescent="0.3"/>
  <cols>
    <col min="1" max="1" width="16.6640625" customWidth="1"/>
    <col min="2" max="2" width="18.33203125" customWidth="1"/>
    <col min="3" max="3" width="13.33203125" bestFit="1" customWidth="1"/>
    <col min="4" max="4" width="16.5546875" customWidth="1"/>
    <col min="5" max="5" width="12.109375" bestFit="1" customWidth="1"/>
    <col min="6" max="6" width="12.33203125" bestFit="1" customWidth="1"/>
    <col min="8" max="8" width="16" bestFit="1" customWidth="1"/>
    <col min="12" max="12" width="13.5546875" bestFit="1" customWidth="1"/>
    <col min="13" max="13" width="12.44140625" bestFit="1" customWidth="1"/>
    <col min="14" max="14" width="10.6640625" bestFit="1" customWidth="1"/>
  </cols>
  <sheetData>
    <row r="1" spans="1:28" x14ac:dyDescent="0.3">
      <c r="B1" t="s">
        <v>1795</v>
      </c>
      <c r="C1" s="61">
        <v>25.03</v>
      </c>
    </row>
    <row r="4" spans="1:28" x14ac:dyDescent="0.3">
      <c r="A4" s="123" t="s">
        <v>886</v>
      </c>
      <c r="B4" s="123" t="s">
        <v>887</v>
      </c>
      <c r="C4" s="124" t="s">
        <v>888</v>
      </c>
      <c r="D4" s="134" t="s">
        <v>522</v>
      </c>
      <c r="E4" s="135" t="s">
        <v>839</v>
      </c>
      <c r="F4" s="134" t="s">
        <v>528</v>
      </c>
      <c r="G4" s="134" t="s">
        <v>840</v>
      </c>
      <c r="H4" s="135" t="s">
        <v>14</v>
      </c>
      <c r="I4" s="135" t="s">
        <v>841</v>
      </c>
      <c r="J4" s="132" t="s">
        <v>58</v>
      </c>
      <c r="K4" s="133" t="s">
        <v>524</v>
      </c>
      <c r="L4" s="133" t="s">
        <v>523</v>
      </c>
      <c r="M4" s="133" t="s">
        <v>526</v>
      </c>
      <c r="N4" s="133" t="s">
        <v>525</v>
      </c>
      <c r="O4" s="133" t="s">
        <v>842</v>
      </c>
      <c r="P4" s="133" t="s">
        <v>843</v>
      </c>
      <c r="Q4" s="133" t="s">
        <v>844</v>
      </c>
      <c r="R4" s="133" t="s">
        <v>845</v>
      </c>
      <c r="S4" s="136" t="s">
        <v>14</v>
      </c>
      <c r="T4" s="133" t="s">
        <v>42</v>
      </c>
      <c r="U4" s="133" t="s">
        <v>527</v>
      </c>
      <c r="V4" s="133" t="s">
        <v>846</v>
      </c>
      <c r="W4" s="133" t="s">
        <v>847</v>
      </c>
      <c r="X4" s="133" t="s">
        <v>848</v>
      </c>
      <c r="Y4" s="133" t="s">
        <v>849</v>
      </c>
      <c r="Z4" s="133" t="s">
        <v>850</v>
      </c>
      <c r="AA4" s="133" t="s">
        <v>851</v>
      </c>
      <c r="AB4" s="133" t="s">
        <v>852</v>
      </c>
    </row>
    <row r="5" spans="1:28" x14ac:dyDescent="0.3">
      <c r="A5" s="391">
        <f>SUMIF('kurzy ČNB'!A:A,'jb IFRS'!#REF!,'kurzy ČNB'!B:B)</f>
        <v>0</v>
      </c>
      <c r="B5" s="125" t="e">
        <f t="shared" ref="B5" si="0">F5/A5</f>
        <v>#DIV/0!</v>
      </c>
      <c r="C5" s="126" t="e">
        <f t="shared" ref="C5" si="1">IF(H5="EUR",G5,B5)</f>
        <v>#DIV/0!</v>
      </c>
      <c r="D5" s="407" t="s">
        <v>802</v>
      </c>
      <c r="E5" s="404" t="s">
        <v>853</v>
      </c>
      <c r="F5" s="406">
        <v>-334776.75</v>
      </c>
      <c r="G5" s="406">
        <v>0</v>
      </c>
      <c r="H5" s="403"/>
      <c r="I5" s="404" t="s">
        <v>874</v>
      </c>
      <c r="J5" s="336" t="s">
        <v>1563</v>
      </c>
      <c r="K5" s="405" t="s">
        <v>856</v>
      </c>
      <c r="L5" s="336" t="s">
        <v>1564</v>
      </c>
      <c r="M5" s="336" t="s">
        <v>1565</v>
      </c>
      <c r="N5" s="336" t="s">
        <v>1482</v>
      </c>
      <c r="O5" s="336" t="s">
        <v>1000</v>
      </c>
      <c r="P5" s="336" t="s">
        <v>802</v>
      </c>
      <c r="Q5" s="408">
        <v>334776.75</v>
      </c>
      <c r="R5" s="408">
        <v>0</v>
      </c>
      <c r="S5" s="403"/>
      <c r="T5" s="403"/>
      <c r="U5" s="336" t="s">
        <v>1566</v>
      </c>
      <c r="V5" s="403"/>
      <c r="W5" s="403"/>
      <c r="X5" s="403"/>
      <c r="Y5" s="403"/>
      <c r="Z5" s="403"/>
      <c r="AA5" s="403"/>
      <c r="AB5" s="408">
        <v>334776.75</v>
      </c>
    </row>
    <row r="6" spans="1:28" x14ac:dyDescent="0.3">
      <c r="A6" s="391"/>
      <c r="B6" s="125"/>
      <c r="C6" s="126"/>
      <c r="D6" s="407"/>
      <c r="E6" s="404"/>
      <c r="F6" s="406"/>
      <c r="G6" s="406"/>
      <c r="H6" s="404"/>
      <c r="I6" s="404"/>
      <c r="J6" s="336"/>
      <c r="K6" s="405"/>
      <c r="L6" s="336"/>
      <c r="M6" s="336"/>
      <c r="N6" s="336"/>
      <c r="O6" s="336"/>
      <c r="P6" s="336"/>
      <c r="Q6" s="408"/>
      <c r="R6" s="408"/>
      <c r="S6" s="405"/>
      <c r="T6" s="405"/>
      <c r="U6" s="336"/>
      <c r="V6" s="403"/>
      <c r="W6" s="403"/>
      <c r="X6" s="403"/>
      <c r="Y6" s="403"/>
      <c r="Z6" s="403"/>
      <c r="AA6" s="403"/>
      <c r="AB6" s="408"/>
    </row>
    <row r="7" spans="1:28" x14ac:dyDescent="0.3">
      <c r="C7" s="65"/>
      <c r="F7" s="128">
        <f>SUM(F5:F6)</f>
        <v>-334776.75</v>
      </c>
    </row>
    <row r="8" spans="1:28" x14ac:dyDescent="0.3">
      <c r="A8" s="452" t="s">
        <v>1578</v>
      </c>
      <c r="B8" s="452" t="s">
        <v>1576</v>
      </c>
      <c r="C8" s="453">
        <f>F7/$C$1</f>
        <v>-13375.019976028765</v>
      </c>
    </row>
    <row r="9" spans="1:28" x14ac:dyDescent="0.3">
      <c r="B9" t="s">
        <v>44</v>
      </c>
      <c r="C9" s="65">
        <f>'TB IFRS'!J9</f>
        <v>51.487195722482284</v>
      </c>
      <c r="D9" s="65"/>
      <c r="E9" s="65"/>
    </row>
    <row r="10" spans="1:28" x14ac:dyDescent="0.3">
      <c r="B10" s="58" t="s">
        <v>1450</v>
      </c>
      <c r="C10" s="402">
        <f>C8-C9</f>
        <v>-13426.507171751247</v>
      </c>
      <c r="D10" s="65"/>
      <c r="E10" s="65"/>
    </row>
    <row r="11" spans="1:28" x14ac:dyDescent="0.3">
      <c r="C11" s="65"/>
      <c r="D11" s="65"/>
      <c r="E11" s="65"/>
    </row>
    <row r="12" spans="1:28" x14ac:dyDescent="0.3">
      <c r="C12" s="65"/>
      <c r="D12" s="65"/>
      <c r="E12" s="65"/>
      <c r="F12" t="s">
        <v>1577</v>
      </c>
    </row>
    <row r="13" spans="1:28" x14ac:dyDescent="0.3">
      <c r="A13" s="391">
        <v>24.55</v>
      </c>
      <c r="B13" s="125">
        <v>14693.949898167008</v>
      </c>
      <c r="C13" s="126">
        <v>14693.949999999999</v>
      </c>
      <c r="D13" s="407" t="s">
        <v>1009</v>
      </c>
      <c r="E13" s="404" t="s">
        <v>855</v>
      </c>
      <c r="F13" s="406">
        <v>349600</v>
      </c>
      <c r="G13" s="406">
        <v>14693.949999999999</v>
      </c>
      <c r="H13" s="404" t="s">
        <v>15</v>
      </c>
      <c r="I13" s="404" t="s">
        <v>1305</v>
      </c>
      <c r="J13" s="336" t="s">
        <v>1311</v>
      </c>
      <c r="K13" s="405" t="s">
        <v>866</v>
      </c>
      <c r="L13" s="336" t="s">
        <v>1546</v>
      </c>
      <c r="M13" s="336" t="s">
        <v>1312</v>
      </c>
      <c r="N13" s="403"/>
      <c r="O13" s="336" t="s">
        <v>1009</v>
      </c>
      <c r="P13" s="336" t="s">
        <v>800</v>
      </c>
      <c r="Q13" s="408">
        <v>360736.47000000003</v>
      </c>
      <c r="R13" s="408">
        <v>14693.949999999999</v>
      </c>
      <c r="S13" s="405" t="s">
        <v>15</v>
      </c>
      <c r="T13" s="405" t="s">
        <v>1310</v>
      </c>
      <c r="U13" s="336" t="s">
        <v>1074</v>
      </c>
      <c r="V13" s="403"/>
      <c r="W13" s="403"/>
      <c r="X13" s="403"/>
      <c r="Y13" s="403"/>
      <c r="Z13" s="403"/>
      <c r="AA13" s="408">
        <v>360736.47000000003</v>
      </c>
      <c r="AB13" s="403"/>
    </row>
    <row r="14" spans="1:28" x14ac:dyDescent="0.3">
      <c r="A14" s="391">
        <v>24.285</v>
      </c>
      <c r="B14" s="125">
        <v>14822.480131768583</v>
      </c>
      <c r="C14" s="126">
        <v>14822.48</v>
      </c>
      <c r="D14" s="407" t="s">
        <v>1009</v>
      </c>
      <c r="E14" s="404" t="s">
        <v>855</v>
      </c>
      <c r="F14" s="406">
        <v>349600</v>
      </c>
      <c r="G14" s="406">
        <v>14822.48</v>
      </c>
      <c r="H14" s="404" t="s">
        <v>15</v>
      </c>
      <c r="I14" s="404" t="s">
        <v>874</v>
      </c>
      <c r="J14" s="336" t="s">
        <v>1347</v>
      </c>
      <c r="K14" s="405" t="s">
        <v>866</v>
      </c>
      <c r="L14" s="336" t="s">
        <v>1567</v>
      </c>
      <c r="M14" s="336" t="s">
        <v>1312</v>
      </c>
      <c r="N14" s="403"/>
      <c r="O14" s="336" t="s">
        <v>1009</v>
      </c>
      <c r="P14" s="336" t="s">
        <v>800</v>
      </c>
      <c r="Q14" s="408">
        <v>359963.93000000005</v>
      </c>
      <c r="R14" s="408">
        <v>14822.48</v>
      </c>
      <c r="S14" s="405" t="s">
        <v>15</v>
      </c>
      <c r="T14" s="405" t="s">
        <v>1599</v>
      </c>
      <c r="U14" s="336" t="s">
        <v>1074</v>
      </c>
      <c r="V14" s="403"/>
      <c r="W14" s="403"/>
      <c r="X14" s="403"/>
      <c r="Y14" s="403"/>
      <c r="Z14" s="403"/>
      <c r="AA14" s="408">
        <v>359963.93000000005</v>
      </c>
      <c r="AB14" s="403"/>
    </row>
    <row r="15" spans="1:28" x14ac:dyDescent="0.3">
      <c r="A15" s="391">
        <v>23.675000000000001</v>
      </c>
      <c r="B15" s="125">
        <v>-11516.367476240759</v>
      </c>
      <c r="C15" s="126">
        <v>-11516.367476240759</v>
      </c>
      <c r="D15" s="407" t="s">
        <v>1009</v>
      </c>
      <c r="E15" s="404" t="s">
        <v>853</v>
      </c>
      <c r="F15" s="406">
        <v>-272650</v>
      </c>
      <c r="G15" s="406">
        <v>0</v>
      </c>
      <c r="H15" s="404"/>
      <c r="I15" s="404" t="s">
        <v>1045</v>
      </c>
      <c r="J15" s="336" t="s">
        <v>1527</v>
      </c>
      <c r="K15" s="405" t="s">
        <v>865</v>
      </c>
      <c r="L15" s="336" t="s">
        <v>1529</v>
      </c>
      <c r="M15" s="336" t="s">
        <v>1530</v>
      </c>
      <c r="N15" s="403"/>
      <c r="O15" s="336" t="s">
        <v>1010</v>
      </c>
      <c r="P15" s="336" t="s">
        <v>1009</v>
      </c>
      <c r="Q15" s="408">
        <v>272650</v>
      </c>
      <c r="R15" s="408">
        <v>0</v>
      </c>
      <c r="S15" s="405"/>
      <c r="T15" s="405"/>
      <c r="U15" s="336" t="s">
        <v>1528</v>
      </c>
      <c r="V15" s="403"/>
      <c r="W15" s="403"/>
      <c r="X15" s="403"/>
      <c r="Y15" s="403"/>
      <c r="Z15" s="403"/>
      <c r="AA15" s="408"/>
      <c r="AB15" s="403">
        <v>272650</v>
      </c>
    </row>
    <row r="16" spans="1:28" x14ac:dyDescent="0.3">
      <c r="A16" s="391">
        <v>23.745000000000001</v>
      </c>
      <c r="B16" s="125">
        <v>15247.399873657612</v>
      </c>
      <c r="C16" s="126">
        <v>15247.4</v>
      </c>
      <c r="D16" s="407" t="s">
        <v>1009</v>
      </c>
      <c r="E16" s="404" t="s">
        <v>855</v>
      </c>
      <c r="F16" s="406">
        <v>349600</v>
      </c>
      <c r="G16" s="406">
        <v>15247.4</v>
      </c>
      <c r="H16" s="403" t="s">
        <v>15</v>
      </c>
      <c r="I16" s="404" t="s">
        <v>1067</v>
      </c>
      <c r="J16" s="336" t="s">
        <v>1495</v>
      </c>
      <c r="K16" s="405" t="s">
        <v>866</v>
      </c>
      <c r="L16" s="336" t="s">
        <v>1078</v>
      </c>
      <c r="M16" s="336" t="s">
        <v>1312</v>
      </c>
      <c r="N16" s="403"/>
      <c r="O16" s="336" t="s">
        <v>1009</v>
      </c>
      <c r="P16" s="336" t="s">
        <v>800</v>
      </c>
      <c r="Q16" s="408">
        <v>362049.51</v>
      </c>
      <c r="R16" s="408">
        <v>15247.4</v>
      </c>
      <c r="S16" s="403" t="s">
        <v>15</v>
      </c>
      <c r="T16" s="403" t="s">
        <v>1496</v>
      </c>
      <c r="U16" s="336" t="s">
        <v>1074</v>
      </c>
      <c r="V16" s="403"/>
      <c r="W16" s="403"/>
      <c r="X16" s="403"/>
      <c r="Y16" s="403"/>
      <c r="Z16" s="403"/>
      <c r="AA16" s="403">
        <v>362049.51</v>
      </c>
      <c r="AB16" s="408"/>
    </row>
    <row r="17" spans="1:28" x14ac:dyDescent="0.3">
      <c r="A17" s="391">
        <v>23.795000000000002</v>
      </c>
      <c r="B17" s="125">
        <v>15144.429922252573</v>
      </c>
      <c r="C17" s="126">
        <v>15144.43</v>
      </c>
      <c r="D17" s="407" t="s">
        <v>1009</v>
      </c>
      <c r="E17" s="404" t="s">
        <v>855</v>
      </c>
      <c r="F17" s="406">
        <v>349600</v>
      </c>
      <c r="G17" s="406">
        <v>15144.43</v>
      </c>
      <c r="H17" s="404" t="s">
        <v>15</v>
      </c>
      <c r="I17" s="404" t="s">
        <v>1125</v>
      </c>
      <c r="J17" s="336" t="s">
        <v>1512</v>
      </c>
      <c r="K17" s="405" t="s">
        <v>866</v>
      </c>
      <c r="L17" s="336" t="s">
        <v>1132</v>
      </c>
      <c r="M17" s="336" t="s">
        <v>1312</v>
      </c>
      <c r="N17" s="403"/>
      <c r="O17" s="336" t="s">
        <v>1009</v>
      </c>
      <c r="P17" s="336" t="s">
        <v>800</v>
      </c>
      <c r="Q17" s="408">
        <v>360361.71</v>
      </c>
      <c r="R17" s="408">
        <v>15144.43</v>
      </c>
      <c r="S17" s="405" t="s">
        <v>15</v>
      </c>
      <c r="T17" s="405" t="s">
        <v>1513</v>
      </c>
      <c r="U17" s="336" t="s">
        <v>1074</v>
      </c>
      <c r="V17" s="403"/>
      <c r="W17" s="403"/>
      <c r="X17" s="403"/>
      <c r="Y17" s="403"/>
      <c r="Z17" s="403"/>
      <c r="AA17" s="408">
        <v>360361.71</v>
      </c>
      <c r="AB17" s="403"/>
    </row>
    <row r="18" spans="1:28" x14ac:dyDescent="0.3">
      <c r="A18" s="391">
        <v>24.024999999999999</v>
      </c>
      <c r="B18" s="125">
        <v>-11739.689906347556</v>
      </c>
      <c r="C18" s="126">
        <v>-11739.69</v>
      </c>
      <c r="D18" s="435" t="s">
        <v>1009</v>
      </c>
      <c r="E18" s="432" t="s">
        <v>853</v>
      </c>
      <c r="F18" s="434">
        <v>-290150</v>
      </c>
      <c r="G18" s="434">
        <v>-11739.69</v>
      </c>
      <c r="H18" s="432" t="s">
        <v>15</v>
      </c>
      <c r="I18" s="432" t="s">
        <v>1299</v>
      </c>
      <c r="J18" s="121" t="s">
        <v>1537</v>
      </c>
      <c r="K18" s="433" t="s">
        <v>866</v>
      </c>
      <c r="L18" s="121" t="s">
        <v>1538</v>
      </c>
      <c r="M18" s="121" t="s">
        <v>1598</v>
      </c>
      <c r="N18" s="108"/>
      <c r="O18" s="121" t="s">
        <v>800</v>
      </c>
      <c r="P18" s="121" t="s">
        <v>1009</v>
      </c>
      <c r="Q18" s="111">
        <v>282046.05</v>
      </c>
      <c r="R18" s="111">
        <v>11739.69</v>
      </c>
      <c r="S18" s="433" t="s">
        <v>15</v>
      </c>
      <c r="T18" s="433" t="s">
        <v>1539</v>
      </c>
      <c r="U18" s="121"/>
      <c r="V18" s="108"/>
      <c r="W18" s="108"/>
      <c r="X18" s="108"/>
      <c r="Y18" s="108"/>
      <c r="Z18" s="108"/>
      <c r="AA18" s="108"/>
      <c r="AB18" s="111">
        <v>282046.05</v>
      </c>
    </row>
    <row r="19" spans="1:28" x14ac:dyDescent="0.3">
      <c r="A19" s="391">
        <v>24.725000000000001</v>
      </c>
      <c r="B19" s="125">
        <v>-3020.019817997977</v>
      </c>
      <c r="C19" s="126">
        <v>-3020.02</v>
      </c>
      <c r="D19" s="435" t="s">
        <v>1009</v>
      </c>
      <c r="E19" s="432" t="s">
        <v>853</v>
      </c>
      <c r="F19" s="434">
        <v>-74669.989999999991</v>
      </c>
      <c r="G19" s="434">
        <v>-3020.02</v>
      </c>
      <c r="H19" s="432" t="s">
        <v>15</v>
      </c>
      <c r="I19" s="432" t="s">
        <v>874</v>
      </c>
      <c r="J19" s="121" t="s">
        <v>1570</v>
      </c>
      <c r="K19" s="433" t="s">
        <v>865</v>
      </c>
      <c r="L19" s="121" t="s">
        <v>1591</v>
      </c>
      <c r="M19" s="121" t="s">
        <v>1592</v>
      </c>
      <c r="N19" s="108"/>
      <c r="O19" s="121" t="s">
        <v>1010</v>
      </c>
      <c r="P19" s="121" t="s">
        <v>1009</v>
      </c>
      <c r="Q19" s="111">
        <v>74669.989999999991</v>
      </c>
      <c r="R19" s="111">
        <v>3020.02</v>
      </c>
      <c r="S19" s="433" t="s">
        <v>15</v>
      </c>
      <c r="T19" s="433" t="s">
        <v>1142</v>
      </c>
      <c r="U19" s="121" t="s">
        <v>1528</v>
      </c>
      <c r="V19" s="108"/>
      <c r="W19" s="108"/>
      <c r="X19" s="108"/>
      <c r="Y19" s="108"/>
      <c r="Z19" s="108"/>
      <c r="AA19" s="108"/>
      <c r="AB19" s="111">
        <v>74669.989999999991</v>
      </c>
    </row>
    <row r="20" spans="1:28" x14ac:dyDescent="0.3">
      <c r="A20" s="391">
        <v>25.27</v>
      </c>
      <c r="B20" s="125">
        <v>2779.5199841709536</v>
      </c>
      <c r="C20" s="126">
        <v>2779.52</v>
      </c>
      <c r="D20" s="407" t="s">
        <v>1009</v>
      </c>
      <c r="E20" s="404" t="s">
        <v>855</v>
      </c>
      <c r="F20" s="406">
        <v>70238.47</v>
      </c>
      <c r="G20" s="406">
        <v>2779.52</v>
      </c>
      <c r="H20" s="404" t="s">
        <v>15</v>
      </c>
      <c r="I20" s="404" t="s">
        <v>1067</v>
      </c>
      <c r="J20" s="336" t="s">
        <v>1666</v>
      </c>
      <c r="K20" s="405" t="s">
        <v>866</v>
      </c>
      <c r="L20" s="336" t="s">
        <v>1069</v>
      </c>
      <c r="M20" s="336" t="s">
        <v>1667</v>
      </c>
      <c r="N20" s="403"/>
      <c r="O20" s="336" t="s">
        <v>1009</v>
      </c>
      <c r="P20" s="336" t="s">
        <v>800</v>
      </c>
      <c r="Q20" s="408">
        <v>70238.47</v>
      </c>
      <c r="R20" s="408">
        <v>2779.52</v>
      </c>
      <c r="S20" s="405" t="s">
        <v>15</v>
      </c>
      <c r="T20" s="405" t="s">
        <v>1668</v>
      </c>
      <c r="U20" s="336" t="s">
        <v>1074</v>
      </c>
      <c r="V20" s="403"/>
      <c r="W20" s="403"/>
      <c r="X20" s="403"/>
      <c r="Y20" s="403"/>
      <c r="Z20" s="403"/>
      <c r="AA20" s="408">
        <v>70238.47</v>
      </c>
      <c r="AB20" s="403"/>
    </row>
    <row r="21" spans="1:28" x14ac:dyDescent="0.3">
      <c r="A21" s="391">
        <v>24.7</v>
      </c>
      <c r="B21" s="125">
        <v>2867.1198380566802</v>
      </c>
      <c r="C21" s="126">
        <v>2867.12</v>
      </c>
      <c r="D21" s="407" t="s">
        <v>1009</v>
      </c>
      <c r="E21" s="404" t="s">
        <v>855</v>
      </c>
      <c r="F21" s="406">
        <v>70817.86</v>
      </c>
      <c r="G21" s="406">
        <v>2867.12</v>
      </c>
      <c r="H21" s="404" t="s">
        <v>15</v>
      </c>
      <c r="I21" s="404" t="s">
        <v>1125</v>
      </c>
      <c r="J21" s="336" t="s">
        <v>1734</v>
      </c>
      <c r="K21" s="405" t="s">
        <v>866</v>
      </c>
      <c r="L21" s="336" t="s">
        <v>1130</v>
      </c>
      <c r="M21" s="336" t="s">
        <v>1667</v>
      </c>
      <c r="N21" s="403"/>
      <c r="O21" s="336" t="s">
        <v>1009</v>
      </c>
      <c r="P21" s="336" t="s">
        <v>800</v>
      </c>
      <c r="Q21" s="408">
        <v>70817.86</v>
      </c>
      <c r="R21" s="408">
        <v>2867.12</v>
      </c>
      <c r="S21" s="405" t="s">
        <v>15</v>
      </c>
      <c r="T21" s="405" t="s">
        <v>1735</v>
      </c>
      <c r="U21" s="336" t="s">
        <v>1074</v>
      </c>
      <c r="V21" s="403"/>
      <c r="W21" s="403"/>
      <c r="X21" s="403"/>
      <c r="Y21" s="403"/>
      <c r="Z21" s="403"/>
      <c r="AA21" s="408">
        <v>70817.86</v>
      </c>
      <c r="AB21" s="403"/>
    </row>
    <row r="22" spans="1:28" x14ac:dyDescent="0.3">
      <c r="A22" s="391">
        <v>25.03</v>
      </c>
      <c r="B22" s="125">
        <v>-220.13983220135839</v>
      </c>
      <c r="C22" s="126">
        <v>-220.14</v>
      </c>
      <c r="D22" s="407" t="s">
        <v>1009</v>
      </c>
      <c r="E22" s="404" t="s">
        <v>853</v>
      </c>
      <c r="F22" s="406">
        <v>-5510.1</v>
      </c>
      <c r="G22" s="406">
        <v>-220.14</v>
      </c>
      <c r="H22" s="404" t="s">
        <v>15</v>
      </c>
      <c r="I22" s="404" t="s">
        <v>1125</v>
      </c>
      <c r="J22" s="336" t="s">
        <v>1739</v>
      </c>
      <c r="K22" s="405" t="s">
        <v>865</v>
      </c>
      <c r="L22" s="336" t="s">
        <v>1794</v>
      </c>
      <c r="M22" s="336" t="s">
        <v>1592</v>
      </c>
      <c r="N22" s="403"/>
      <c r="O22" s="336" t="s">
        <v>1010</v>
      </c>
      <c r="P22" s="336" t="s">
        <v>1009</v>
      </c>
      <c r="Q22" s="408">
        <v>5510.1</v>
      </c>
      <c r="R22" s="408">
        <v>220.14</v>
      </c>
      <c r="S22" s="405" t="s">
        <v>15</v>
      </c>
      <c r="T22" s="405" t="s">
        <v>1748</v>
      </c>
      <c r="U22" s="336" t="s">
        <v>1528</v>
      </c>
      <c r="V22" s="403"/>
      <c r="W22" s="403"/>
      <c r="X22" s="403"/>
      <c r="Y22" s="403"/>
      <c r="Z22" s="403"/>
      <c r="AA22" s="403"/>
      <c r="AB22" s="408">
        <v>5510.1</v>
      </c>
    </row>
    <row r="23" spans="1:28" x14ac:dyDescent="0.3">
      <c r="A23" s="391"/>
      <c r="B23" s="125"/>
      <c r="C23" s="126"/>
      <c r="D23" s="435"/>
      <c r="E23" s="432"/>
      <c r="F23" s="434"/>
      <c r="G23" s="434"/>
      <c r="H23" s="432"/>
      <c r="I23" s="432"/>
      <c r="J23" s="121"/>
      <c r="K23" s="433"/>
      <c r="L23" s="121"/>
      <c r="M23" s="121"/>
      <c r="N23" s="108"/>
      <c r="O23" s="121"/>
      <c r="P23" s="121"/>
      <c r="Q23" s="111"/>
      <c r="R23" s="111"/>
      <c r="S23" s="433"/>
      <c r="T23" s="433"/>
      <c r="U23" s="121"/>
      <c r="V23" s="108"/>
      <c r="W23" s="108"/>
      <c r="X23" s="108"/>
      <c r="Y23" s="108"/>
      <c r="Z23" s="108"/>
      <c r="AA23" s="108"/>
      <c r="AB23" s="111"/>
    </row>
    <row r="24" spans="1:28" x14ac:dyDescent="0.3">
      <c r="C24" s="128"/>
    </row>
    <row r="25" spans="1:28" x14ac:dyDescent="0.3">
      <c r="A25" s="452" t="s">
        <v>1579</v>
      </c>
      <c r="B25" s="452" t="s">
        <v>1576</v>
      </c>
      <c r="C25" s="453">
        <f>SUM(F13:F22)/$C$1</f>
        <v>35816.070315621255</v>
      </c>
      <c r="F25" s="128"/>
    </row>
    <row r="26" spans="1:28" x14ac:dyDescent="0.3">
      <c r="B26" t="s">
        <v>44</v>
      </c>
      <c r="C26" s="65">
        <f>'TB IFRS'!J10</f>
        <v>36202.237663233405</v>
      </c>
    </row>
    <row r="27" spans="1:28" x14ac:dyDescent="0.3">
      <c r="B27" s="58" t="s">
        <v>1451</v>
      </c>
      <c r="C27" s="409">
        <f>C25-C26</f>
        <v>-386.16734761215048</v>
      </c>
    </row>
    <row r="29" spans="1:28" x14ac:dyDescent="0.3">
      <c r="A29" s="391">
        <v>24.725000000000001</v>
      </c>
      <c r="B29" s="125">
        <v>-443.47826086956519</v>
      </c>
      <c r="C29" s="126">
        <v>-443.47826086956519</v>
      </c>
      <c r="D29" s="435" t="s">
        <v>1497</v>
      </c>
      <c r="E29" s="432" t="s">
        <v>853</v>
      </c>
      <c r="F29" s="434">
        <v>-10965</v>
      </c>
      <c r="G29" s="434">
        <v>0</v>
      </c>
      <c r="H29" s="108"/>
      <c r="I29" s="432" t="s">
        <v>874</v>
      </c>
      <c r="J29" s="121" t="s">
        <v>1570</v>
      </c>
      <c r="K29" s="433" t="s">
        <v>863</v>
      </c>
      <c r="L29" s="121" t="s">
        <v>1571</v>
      </c>
      <c r="M29" s="121" t="s">
        <v>1572</v>
      </c>
      <c r="N29" s="108"/>
      <c r="O29" s="121" t="s">
        <v>1434</v>
      </c>
      <c r="P29" s="121" t="s">
        <v>1497</v>
      </c>
      <c r="Q29" s="111">
        <v>10965</v>
      </c>
      <c r="R29" s="111">
        <v>0</v>
      </c>
      <c r="S29" s="108"/>
      <c r="T29" s="108"/>
      <c r="U29" s="121" t="s">
        <v>1571</v>
      </c>
      <c r="V29" s="108"/>
      <c r="W29" s="108"/>
      <c r="X29" s="108"/>
      <c r="Y29" s="108"/>
      <c r="Z29" s="108"/>
      <c r="AA29" s="108"/>
      <c r="AB29" s="111">
        <v>10965</v>
      </c>
    </row>
    <row r="31" spans="1:28" x14ac:dyDescent="0.3">
      <c r="A31" s="452" t="s">
        <v>1580</v>
      </c>
      <c r="B31" s="452" t="s">
        <v>1576</v>
      </c>
      <c r="C31" s="453">
        <f>F29/$C$1</f>
        <v>-438.07431082700759</v>
      </c>
    </row>
    <row r="32" spans="1:28" x14ac:dyDescent="0.3">
      <c r="B32" t="s">
        <v>44</v>
      </c>
      <c r="C32" s="65">
        <f>'TB IFRS'!J11</f>
        <v>15.254673363149777</v>
      </c>
    </row>
    <row r="33" spans="2:3" x14ac:dyDescent="0.3">
      <c r="B33" s="58" t="s">
        <v>1581</v>
      </c>
      <c r="C33" s="402">
        <f>C31-C32</f>
        <v>-453.32898419015737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EDF1D-0A07-4C49-AEB2-BD006FF019AE}">
  <sheetPr codeName="List13"/>
  <dimension ref="A1:T12"/>
  <sheetViews>
    <sheetView topLeftCell="F1" workbookViewId="0">
      <selection activeCell="S13" sqref="S13"/>
    </sheetView>
  </sheetViews>
  <sheetFormatPr defaultRowHeight="14.4" x14ac:dyDescent="0.3"/>
  <cols>
    <col min="2" max="2" width="17.88671875" customWidth="1"/>
    <col min="3" max="3" width="19.6640625" customWidth="1"/>
    <col min="4" max="4" width="13.44140625" customWidth="1"/>
    <col min="5" max="5" width="19" customWidth="1"/>
    <col min="6" max="6" width="8.88671875" customWidth="1"/>
    <col min="7" max="7" width="15.44140625" customWidth="1"/>
    <col min="8" max="8" width="13.44140625" customWidth="1"/>
    <col min="9" max="9" width="16.44140625" customWidth="1"/>
    <col min="10" max="10" width="14.109375" customWidth="1"/>
    <col min="11" max="11" width="8.88671875" customWidth="1"/>
    <col min="12" max="12" width="15.44140625" bestFit="1" customWidth="1"/>
    <col min="13" max="13" width="13.44140625" bestFit="1" customWidth="1"/>
    <col min="14" max="14" width="16.44140625" bestFit="1" customWidth="1"/>
    <col min="15" max="15" width="14.109375" bestFit="1" customWidth="1"/>
    <col min="17" max="17" width="15.44140625" bestFit="1" customWidth="1"/>
    <col min="18" max="18" width="13.44140625" bestFit="1" customWidth="1"/>
    <col min="19" max="19" width="16.44140625" bestFit="1" customWidth="1"/>
    <col min="20" max="20" width="14.109375" bestFit="1" customWidth="1"/>
  </cols>
  <sheetData>
    <row r="1" spans="1:20" x14ac:dyDescent="0.3">
      <c r="B1" t="s">
        <v>42</v>
      </c>
      <c r="C1">
        <v>24.86</v>
      </c>
      <c r="G1" s="95">
        <v>44742</v>
      </c>
      <c r="H1">
        <v>24.74</v>
      </c>
      <c r="L1" s="95">
        <v>44926</v>
      </c>
      <c r="M1">
        <v>24.114999999999998</v>
      </c>
      <c r="Q1" s="95">
        <v>45291</v>
      </c>
      <c r="R1">
        <v>24.725000000000001</v>
      </c>
    </row>
    <row r="2" spans="1:20" x14ac:dyDescent="0.3">
      <c r="B2" s="64" t="s">
        <v>15</v>
      </c>
      <c r="C2" s="67" t="s">
        <v>762</v>
      </c>
      <c r="D2" t="s">
        <v>44</v>
      </c>
      <c r="E2" s="70" t="s">
        <v>648</v>
      </c>
      <c r="G2" t="s">
        <v>15</v>
      </c>
      <c r="H2" t="s">
        <v>16</v>
      </c>
      <c r="I2" t="s">
        <v>44</v>
      </c>
      <c r="J2" t="s">
        <v>648</v>
      </c>
      <c r="L2" t="s">
        <v>15</v>
      </c>
      <c r="M2" t="s">
        <v>16</v>
      </c>
      <c r="N2" t="s">
        <v>44</v>
      </c>
      <c r="O2" t="s">
        <v>648</v>
      </c>
      <c r="Q2" t="s">
        <v>15</v>
      </c>
      <c r="R2" t="s">
        <v>16</v>
      </c>
      <c r="S2" t="s">
        <v>44</v>
      </c>
      <c r="T2" t="s">
        <v>648</v>
      </c>
    </row>
    <row r="3" spans="1:20" x14ac:dyDescent="0.3">
      <c r="A3">
        <v>473100</v>
      </c>
      <c r="B3" s="65">
        <f>'473-SB'!D11</f>
        <v>30000000</v>
      </c>
      <c r="C3" s="65">
        <f>B3*C1</f>
        <v>745800000</v>
      </c>
      <c r="D3" s="65">
        <v>756900000</v>
      </c>
      <c r="E3" s="100">
        <f>D3-C3</f>
        <v>11100000</v>
      </c>
      <c r="G3" s="65">
        <f>'473-SB'!I44</f>
        <v>30000000</v>
      </c>
      <c r="H3" s="65">
        <f>G3*$H$1</f>
        <v>742200000</v>
      </c>
      <c r="I3" s="65">
        <f>-'TB CAS'!J18</f>
        <v>229007.17999999993</v>
      </c>
      <c r="J3" s="65"/>
      <c r="L3" s="65">
        <f>'473-SB'!D11</f>
        <v>30000000</v>
      </c>
      <c r="M3" s="402">
        <f>L3*$M$1</f>
        <v>723450000</v>
      </c>
      <c r="N3" s="65">
        <f>-'TB CAS'!J21</f>
        <v>393638.41</v>
      </c>
      <c r="O3" s="65">
        <f>N3-M3</f>
        <v>-723056361.59000003</v>
      </c>
      <c r="Q3" s="65">
        <f>'473-SB'!D11</f>
        <v>30000000</v>
      </c>
      <c r="R3" s="402">
        <f>Q3*$R$1</f>
        <v>741750000</v>
      </c>
      <c r="S3" s="65">
        <f>-'TB CAS'!J22</f>
        <v>741750000</v>
      </c>
      <c r="T3" s="65">
        <f>S3-R3</f>
        <v>0</v>
      </c>
    </row>
    <row r="4" spans="1:20" x14ac:dyDescent="0.3">
      <c r="A4">
        <v>473101</v>
      </c>
      <c r="B4" s="65">
        <f>'473-SB'!E45+'473-SB'!E46</f>
        <v>165000</v>
      </c>
      <c r="C4" s="65">
        <f>B4*C1</f>
        <v>4101900</v>
      </c>
      <c r="D4" s="65">
        <v>4902562.5</v>
      </c>
      <c r="E4" s="100">
        <f>D4-C4</f>
        <v>800662.5</v>
      </c>
      <c r="G4" s="65">
        <f>SUM('473-SB'!E45:E52)</f>
        <v>840000</v>
      </c>
      <c r="H4" s="65">
        <f>G4*$H$1</f>
        <v>20781600</v>
      </c>
      <c r="I4" s="65">
        <v>20729400</v>
      </c>
      <c r="J4" s="65">
        <f>I4-H4</f>
        <v>-52200</v>
      </c>
      <c r="L4" s="65">
        <f>SUM('473-SB'!E45:E59)+'473-SB'!G57</f>
        <v>165000</v>
      </c>
      <c r="M4" s="402">
        <f>L4*$M$1</f>
        <v>3978974.9999999995</v>
      </c>
      <c r="N4" s="65">
        <f>-'TB CAS'!J22</f>
        <v>741750000</v>
      </c>
      <c r="O4" s="65">
        <f>N4-M4</f>
        <v>737771025</v>
      </c>
      <c r="Q4" s="65">
        <f>SUM('473-SB'!E45:E72)+SUM('473-SB'!G47:G72)</f>
        <v>165000</v>
      </c>
      <c r="R4" s="402">
        <f>Q4*$M$1</f>
        <v>3978974.9999999995</v>
      </c>
      <c r="S4" s="65">
        <f>-'TB CAS'!J23</f>
        <v>20902350</v>
      </c>
      <c r="T4" s="65">
        <f>S4-R4</f>
        <v>16923375</v>
      </c>
    </row>
    <row r="5" spans="1:20" x14ac:dyDescent="0.3">
      <c r="A5">
        <v>473102</v>
      </c>
      <c r="B5" s="65"/>
      <c r="C5" s="65"/>
      <c r="D5" s="65"/>
      <c r="E5" s="65"/>
      <c r="L5" s="65"/>
      <c r="M5" s="65"/>
      <c r="N5" s="65"/>
      <c r="O5" s="65"/>
      <c r="Q5" s="65"/>
      <c r="R5" s="65"/>
      <c r="S5" s="65"/>
      <c r="T5" s="65"/>
    </row>
    <row r="6" spans="1:20" x14ac:dyDescent="0.3">
      <c r="B6" s="65">
        <f>SUM(B3:B5)</f>
        <v>30165000</v>
      </c>
      <c r="C6" s="65">
        <f>SUM(C3:C5)</f>
        <v>749901900</v>
      </c>
      <c r="D6" s="65"/>
      <c r="E6" s="65"/>
      <c r="G6" s="65">
        <f>SUM(G3:G5)</f>
        <v>30840000</v>
      </c>
      <c r="L6" s="65">
        <f>SUM(L3:L5)</f>
        <v>30165000</v>
      </c>
      <c r="M6" s="65"/>
      <c r="N6" s="65"/>
      <c r="O6" s="65"/>
      <c r="Q6" s="65">
        <f>SUM(Q3:Q5)</f>
        <v>30165000</v>
      </c>
      <c r="R6" s="65"/>
      <c r="S6" s="65"/>
      <c r="T6" s="65"/>
    </row>
    <row r="7" spans="1:20" x14ac:dyDescent="0.3">
      <c r="B7" s="65"/>
      <c r="C7" s="65"/>
      <c r="D7" s="65"/>
      <c r="E7" s="65"/>
      <c r="L7" s="65"/>
      <c r="M7" s="65"/>
      <c r="N7" s="65"/>
      <c r="O7" s="65"/>
      <c r="Q7" s="65"/>
      <c r="R7" s="65"/>
      <c r="S7" s="65"/>
      <c r="T7" s="65"/>
    </row>
    <row r="8" spans="1:20" x14ac:dyDescent="0.3">
      <c r="B8" s="65"/>
      <c r="C8" s="65"/>
      <c r="D8" s="65"/>
      <c r="E8" s="65"/>
      <c r="L8" s="65"/>
      <c r="M8" s="65"/>
      <c r="N8" s="65"/>
      <c r="O8" s="65"/>
      <c r="Q8" s="65"/>
      <c r="R8" s="65"/>
      <c r="S8" s="65"/>
      <c r="T8" s="65"/>
    </row>
    <row r="9" spans="1:20" x14ac:dyDescent="0.3">
      <c r="B9" s="65"/>
      <c r="C9" s="65"/>
      <c r="D9" s="65"/>
      <c r="E9" s="65"/>
      <c r="L9" s="65"/>
      <c r="M9" s="65"/>
      <c r="N9" s="65"/>
      <c r="O9" s="65"/>
      <c r="Q9" s="65"/>
      <c r="R9" s="65"/>
      <c r="S9" s="65"/>
      <c r="T9" s="65"/>
    </row>
    <row r="10" spans="1:20" x14ac:dyDescent="0.3">
      <c r="A10" s="99" t="s">
        <v>772</v>
      </c>
      <c r="B10" s="65">
        <v>30003780.82191781</v>
      </c>
      <c r="C10" s="65">
        <f>B10*$C$1</f>
        <v>745893991.23287678</v>
      </c>
      <c r="D10" s="65">
        <v>756993991.19000006</v>
      </c>
      <c r="E10" s="65">
        <f>D10-C10</f>
        <v>11099999.95712328</v>
      </c>
      <c r="G10" s="65"/>
      <c r="H10">
        <f>G10*H1</f>
        <v>0</v>
      </c>
      <c r="L10" s="65">
        <f>-'067'!U47</f>
        <v>30000000.000136971</v>
      </c>
      <c r="M10" s="402">
        <f>L10*M1</f>
        <v>723450000.00330305</v>
      </c>
      <c r="N10" s="65">
        <f>'TB CAS'!J4</f>
        <v>759649692.85000002</v>
      </c>
      <c r="O10" s="65">
        <f>N10-M10</f>
        <v>36199692.846696973</v>
      </c>
      <c r="Q10" s="65">
        <f>-'067'!AG59</f>
        <v>0</v>
      </c>
      <c r="R10" s="402">
        <f>Q10*$R$1</f>
        <v>0</v>
      </c>
      <c r="S10" s="65">
        <f>'TB CAS'!J4</f>
        <v>759649692.85000002</v>
      </c>
      <c r="T10" s="65">
        <f>S10-R10</f>
        <v>759649692.85000002</v>
      </c>
    </row>
    <row r="11" spans="1:20" x14ac:dyDescent="0.3">
      <c r="L11" s="65"/>
      <c r="M11" s="65"/>
      <c r="N11" s="65"/>
      <c r="O11" s="65"/>
      <c r="Q11" s="65"/>
      <c r="R11" s="65"/>
      <c r="S11" s="65"/>
      <c r="T11" s="65"/>
    </row>
    <row r="12" spans="1:20" x14ac:dyDescent="0.3">
      <c r="A12">
        <v>379100</v>
      </c>
      <c r="L12" s="65"/>
      <c r="M12" s="65"/>
      <c r="N12" s="65"/>
      <c r="O12" s="65"/>
      <c r="Q12" s="65">
        <f>'379000'!C44</f>
        <v>83157.539999999979</v>
      </c>
      <c r="R12" s="65">
        <f>Q12*$R$1</f>
        <v>2056070.1764999996</v>
      </c>
      <c r="S12" s="65">
        <f>'TB CAS'!J14</f>
        <v>1494618.1600000001</v>
      </c>
      <c r="T12" s="65">
        <f>R12-S12</f>
        <v>561452.01649999944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B961-8D8F-4127-84DE-712D7C896630}">
  <sheetPr codeName="List14"/>
  <dimension ref="A1:P19"/>
  <sheetViews>
    <sheetView workbookViewId="0">
      <selection activeCell="N26" sqref="N26"/>
    </sheetView>
  </sheetViews>
  <sheetFormatPr defaultRowHeight="14.4" x14ac:dyDescent="0.3"/>
  <cols>
    <col min="2" max="2" width="12.21875" customWidth="1"/>
    <col min="8" max="8" width="14" customWidth="1"/>
    <col min="15" max="15" width="24.33203125" bestFit="1" customWidth="1"/>
  </cols>
  <sheetData>
    <row r="1" spans="1:16" ht="17.399999999999999" x14ac:dyDescent="0.3">
      <c r="A1" s="410" t="s">
        <v>1457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500" t="s">
        <v>788</v>
      </c>
      <c r="O1" s="499"/>
    </row>
    <row r="2" spans="1:16" ht="15" thickBot="1" x14ac:dyDescent="0.35">
      <c r="A2" s="415" t="s">
        <v>916</v>
      </c>
      <c r="B2" s="413"/>
      <c r="C2" s="413"/>
      <c r="D2" s="413"/>
      <c r="E2" s="413"/>
      <c r="F2" s="413" t="s">
        <v>787</v>
      </c>
      <c r="G2" s="413"/>
      <c r="H2" s="413"/>
      <c r="I2" s="413"/>
      <c r="J2" s="413" t="s">
        <v>1264</v>
      </c>
      <c r="K2" s="413"/>
      <c r="L2" s="413" t="s">
        <v>1447</v>
      </c>
      <c r="M2" s="413"/>
      <c r="N2" s="501" t="s">
        <v>1458</v>
      </c>
      <c r="O2" s="502"/>
    </row>
    <row r="3" spans="1:16" ht="15" thickTop="1" x14ac:dyDescent="0.3">
      <c r="A3" s="414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</row>
    <row r="4" spans="1:16" x14ac:dyDescent="0.3">
      <c r="A4" s="416" t="s">
        <v>1459</v>
      </c>
      <c r="B4" s="417" t="s">
        <v>1460</v>
      </c>
      <c r="C4" s="338"/>
      <c r="D4" s="416" t="s">
        <v>1461</v>
      </c>
      <c r="E4" s="338"/>
      <c r="F4" s="338"/>
      <c r="G4" s="503" t="s">
        <v>1462</v>
      </c>
      <c r="H4" s="504"/>
      <c r="I4" s="503" t="s">
        <v>1463</v>
      </c>
      <c r="J4" s="504"/>
      <c r="K4" s="504"/>
      <c r="L4" s="504"/>
      <c r="M4" s="503" t="s">
        <v>1464</v>
      </c>
      <c r="N4" s="504"/>
      <c r="O4" s="417" t="s">
        <v>1465</v>
      </c>
    </row>
    <row r="5" spans="1:16" x14ac:dyDescent="0.3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</row>
    <row r="6" spans="1:16" x14ac:dyDescent="0.3">
      <c r="A6" s="336" t="s">
        <v>858</v>
      </c>
      <c r="B6" s="408">
        <v>759450753</v>
      </c>
      <c r="C6" s="403"/>
      <c r="D6" s="336" t="s">
        <v>920</v>
      </c>
      <c r="E6" s="403"/>
      <c r="F6" s="403"/>
      <c r="G6" s="403"/>
      <c r="H6" s="408">
        <v>2550753</v>
      </c>
      <c r="I6" s="498">
        <v>62860.840000000004</v>
      </c>
      <c r="J6" s="499"/>
      <c r="K6" s="499"/>
      <c r="L6" s="499"/>
      <c r="M6" s="498">
        <v>509871.22000000003</v>
      </c>
      <c r="N6" s="499"/>
      <c r="O6" s="408">
        <v>1978020.94</v>
      </c>
      <c r="P6">
        <v>384</v>
      </c>
    </row>
    <row r="7" spans="1:16" x14ac:dyDescent="0.3">
      <c r="A7" s="416" t="s">
        <v>1466</v>
      </c>
      <c r="B7" s="338"/>
      <c r="C7" s="338"/>
      <c r="D7" s="338"/>
      <c r="E7" s="338"/>
      <c r="F7" s="338"/>
      <c r="G7" s="505">
        <v>2550753</v>
      </c>
      <c r="H7" s="504"/>
      <c r="I7" s="505">
        <v>62860.840000000004</v>
      </c>
      <c r="J7" s="504"/>
      <c r="K7" s="504"/>
      <c r="L7" s="504"/>
      <c r="M7" s="505">
        <v>509871.22000000003</v>
      </c>
      <c r="N7" s="504"/>
      <c r="O7" s="412">
        <v>1978020.94</v>
      </c>
    </row>
    <row r="8" spans="1:16" x14ac:dyDescent="0.3">
      <c r="A8" s="337"/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7"/>
    </row>
    <row r="9" spans="1:16" x14ac:dyDescent="0.3">
      <c r="A9" s="336" t="s">
        <v>859</v>
      </c>
      <c r="B9" s="408">
        <v>50000</v>
      </c>
      <c r="C9" s="403"/>
      <c r="D9" s="336" t="s">
        <v>925</v>
      </c>
      <c r="E9" s="403"/>
      <c r="F9" s="403"/>
      <c r="G9" s="403"/>
      <c r="H9" s="408">
        <v>50000</v>
      </c>
      <c r="I9" s="498">
        <v>1258.8899999999999</v>
      </c>
      <c r="J9" s="499"/>
      <c r="K9" s="499"/>
      <c r="L9" s="499"/>
      <c r="M9" s="498">
        <v>9989.0499999999993</v>
      </c>
      <c r="N9" s="499"/>
      <c r="O9" s="408">
        <v>38752.06</v>
      </c>
      <c r="P9">
        <v>381</v>
      </c>
    </row>
    <row r="10" spans="1:16" x14ac:dyDescent="0.3">
      <c r="A10" s="416" t="s">
        <v>1466</v>
      </c>
      <c r="B10" s="338"/>
      <c r="C10" s="338"/>
      <c r="D10" s="338"/>
      <c r="E10" s="338"/>
      <c r="F10" s="338"/>
      <c r="G10" s="505">
        <v>50000</v>
      </c>
      <c r="H10" s="504"/>
      <c r="I10" s="505">
        <v>1258.8899999999999</v>
      </c>
      <c r="J10" s="504"/>
      <c r="K10" s="504"/>
      <c r="L10" s="504"/>
      <c r="M10" s="505">
        <v>9989.0499999999993</v>
      </c>
      <c r="N10" s="504"/>
      <c r="O10" s="412">
        <v>38752.06</v>
      </c>
    </row>
    <row r="11" spans="1:16" x14ac:dyDescent="0.3">
      <c r="A11" s="337"/>
      <c r="B11" s="337"/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</row>
    <row r="12" spans="1:16" x14ac:dyDescent="0.3">
      <c r="A12" s="336" t="s">
        <v>861</v>
      </c>
      <c r="B12" s="408">
        <v>89116</v>
      </c>
      <c r="C12" s="403"/>
      <c r="D12" s="336" t="s">
        <v>927</v>
      </c>
      <c r="E12" s="403"/>
      <c r="F12" s="403"/>
      <c r="G12" s="403"/>
      <c r="H12" s="408">
        <v>89116</v>
      </c>
      <c r="I12" s="498">
        <v>2243.75</v>
      </c>
      <c r="J12" s="499"/>
      <c r="K12" s="499"/>
      <c r="L12" s="499"/>
      <c r="M12" s="498">
        <v>17803.689999999999</v>
      </c>
      <c r="N12" s="499"/>
      <c r="O12" s="408">
        <v>69068.56</v>
      </c>
      <c r="P12">
        <v>381</v>
      </c>
    </row>
    <row r="13" spans="1:16" x14ac:dyDescent="0.3">
      <c r="A13" s="416" t="s">
        <v>1466</v>
      </c>
      <c r="B13" s="338"/>
      <c r="C13" s="338"/>
      <c r="D13" s="338"/>
      <c r="E13" s="338"/>
      <c r="F13" s="338"/>
      <c r="G13" s="505">
        <v>89116</v>
      </c>
      <c r="H13" s="504"/>
      <c r="I13" s="505">
        <v>2243.75</v>
      </c>
      <c r="J13" s="504"/>
      <c r="K13" s="504"/>
      <c r="L13" s="504"/>
      <c r="M13" s="505">
        <v>17803.689999999999</v>
      </c>
      <c r="N13" s="504"/>
      <c r="O13" s="412">
        <v>69068.56</v>
      </c>
    </row>
    <row r="14" spans="1:16" x14ac:dyDescent="0.3">
      <c r="A14" s="337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</row>
    <row r="15" spans="1:16" x14ac:dyDescent="0.3">
      <c r="A15" s="336" t="s">
        <v>864</v>
      </c>
      <c r="B15" s="408">
        <v>9082800</v>
      </c>
      <c r="C15" s="403"/>
      <c r="D15" s="336" t="s">
        <v>922</v>
      </c>
      <c r="E15" s="403"/>
      <c r="F15" s="403"/>
      <c r="G15" s="403"/>
      <c r="H15" s="408">
        <v>9082800</v>
      </c>
      <c r="I15" s="498">
        <v>223836.79999999999</v>
      </c>
      <c r="J15" s="499"/>
      <c r="K15" s="499"/>
      <c r="L15" s="499"/>
      <c r="M15" s="498">
        <v>1815565.1700000002</v>
      </c>
      <c r="N15" s="499"/>
      <c r="O15" s="408">
        <v>7043398.0300000003</v>
      </c>
      <c r="P15">
        <v>381</v>
      </c>
    </row>
    <row r="16" spans="1:16" x14ac:dyDescent="0.3">
      <c r="A16" s="416" t="s">
        <v>1466</v>
      </c>
      <c r="B16" s="338"/>
      <c r="C16" s="338"/>
      <c r="D16" s="338"/>
      <c r="E16" s="338"/>
      <c r="F16" s="338"/>
      <c r="G16" s="505">
        <v>9082800</v>
      </c>
      <c r="H16" s="504"/>
      <c r="I16" s="505">
        <v>223836.79999999999</v>
      </c>
      <c r="J16" s="504"/>
      <c r="K16" s="504"/>
      <c r="L16" s="504"/>
      <c r="M16" s="505">
        <v>1815565.1700000002</v>
      </c>
      <c r="N16" s="504"/>
      <c r="O16" s="412">
        <v>7043398.0300000003</v>
      </c>
    </row>
    <row r="17" spans="1:15" x14ac:dyDescent="0.3">
      <c r="A17" s="337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</row>
    <row r="18" spans="1:15" x14ac:dyDescent="0.3">
      <c r="A18" s="416" t="s">
        <v>1467</v>
      </c>
      <c r="B18" s="338"/>
      <c r="C18" s="338"/>
      <c r="D18" s="338"/>
      <c r="E18" s="338"/>
      <c r="F18" s="338"/>
      <c r="G18" s="505">
        <v>11772669</v>
      </c>
      <c r="H18" s="504"/>
      <c r="I18" s="505">
        <v>290200.28000000003</v>
      </c>
      <c r="J18" s="504"/>
      <c r="K18" s="504"/>
      <c r="L18" s="504"/>
      <c r="M18" s="505">
        <v>2353229.13</v>
      </c>
      <c r="N18" s="504"/>
      <c r="O18" s="412">
        <v>9129239.5899999999</v>
      </c>
    </row>
    <row r="19" spans="1:15" x14ac:dyDescent="0.3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</row>
  </sheetData>
  <mergeCells count="28">
    <mergeCell ref="G16:H16"/>
    <mergeCell ref="I16:L16"/>
    <mergeCell ref="M16:N16"/>
    <mergeCell ref="G18:H18"/>
    <mergeCell ref="I18:L18"/>
    <mergeCell ref="M18:N18"/>
    <mergeCell ref="I15:L15"/>
    <mergeCell ref="M15:N15"/>
    <mergeCell ref="G7:H7"/>
    <mergeCell ref="I7:L7"/>
    <mergeCell ref="M7:N7"/>
    <mergeCell ref="I9:L9"/>
    <mergeCell ref="M9:N9"/>
    <mergeCell ref="G10:H10"/>
    <mergeCell ref="I10:L10"/>
    <mergeCell ref="M10:N10"/>
    <mergeCell ref="I12:L12"/>
    <mergeCell ref="M12:N12"/>
    <mergeCell ref="G13:H13"/>
    <mergeCell ref="I13:L13"/>
    <mergeCell ref="M13:N13"/>
    <mergeCell ref="I6:L6"/>
    <mergeCell ref="M6:N6"/>
    <mergeCell ref="N1:O1"/>
    <mergeCell ref="N2:O2"/>
    <mergeCell ref="G4:H4"/>
    <mergeCell ref="I4:L4"/>
    <mergeCell ref="M4:N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3C339-81C2-48C4-B3F8-B1EA4A6B4826}">
  <sheetPr codeName="List15">
    <tabColor rgb="FFFFC000"/>
  </sheetPr>
  <dimension ref="A1:D41"/>
  <sheetViews>
    <sheetView topLeftCell="A4" workbookViewId="0">
      <selection activeCell="D9" sqref="D9:D10"/>
    </sheetView>
  </sheetViews>
  <sheetFormatPr defaultRowHeight="14.4" x14ac:dyDescent="0.3"/>
  <cols>
    <col min="1" max="1" width="41.6640625" style="199" bestFit="1" customWidth="1"/>
    <col min="2" max="2" width="10.21875" style="199" bestFit="1" customWidth="1"/>
    <col min="3" max="4" width="19.44140625" style="199" customWidth="1"/>
  </cols>
  <sheetData>
    <row r="1" spans="1:4" x14ac:dyDescent="0.3">
      <c r="A1" s="198" t="s">
        <v>916</v>
      </c>
      <c r="B1" s="198"/>
    </row>
    <row r="2" spans="1:4" ht="18" x14ac:dyDescent="0.35">
      <c r="A2" s="200" t="s">
        <v>948</v>
      </c>
      <c r="B2" s="200"/>
      <c r="C2" s="201"/>
      <c r="D2" s="201"/>
    </row>
    <row r="3" spans="1:4" x14ac:dyDescent="0.3">
      <c r="A3" s="202" t="s">
        <v>1796</v>
      </c>
      <c r="B3" s="202"/>
    </row>
    <row r="4" spans="1:4" x14ac:dyDescent="0.3">
      <c r="A4" s="203" t="s">
        <v>50</v>
      </c>
      <c r="B4" s="203"/>
      <c r="C4" s="204"/>
      <c r="D4" s="204"/>
    </row>
    <row r="5" spans="1:4" x14ac:dyDescent="0.3">
      <c r="A5" s="205"/>
      <c r="B5" s="205"/>
      <c r="C5" s="204"/>
      <c r="D5" s="204"/>
    </row>
    <row r="6" spans="1:4" ht="28.2" x14ac:dyDescent="0.3">
      <c r="B6" s="325" t="s">
        <v>1019</v>
      </c>
      <c r="C6" s="206" t="s">
        <v>1797</v>
      </c>
      <c r="D6" s="206" t="s">
        <v>1798</v>
      </c>
    </row>
    <row r="7" spans="1:4" x14ac:dyDescent="0.3">
      <c r="B7" s="98"/>
      <c r="C7" s="207"/>
      <c r="D7" s="207"/>
    </row>
    <row r="8" spans="1:4" x14ac:dyDescent="0.3">
      <c r="B8" s="98"/>
      <c r="C8" s="207"/>
      <c r="D8" s="207"/>
    </row>
    <row r="9" spans="1:4" x14ac:dyDescent="0.3">
      <c r="A9" s="208" t="s">
        <v>949</v>
      </c>
      <c r="B9" s="324">
        <v>13</v>
      </c>
      <c r="C9" s="209">
        <f>'TB IFRS'!J38/-1000</f>
        <v>735.86863000000017</v>
      </c>
      <c r="D9" s="209">
        <v>771.23721999999998</v>
      </c>
    </row>
    <row r="10" spans="1:4" x14ac:dyDescent="0.3">
      <c r="A10" s="208" t="s">
        <v>950</v>
      </c>
      <c r="B10" s="324">
        <v>13</v>
      </c>
      <c r="C10" s="209">
        <f>-'TB IFRS'!J33/1000</f>
        <v>-694.91188999999997</v>
      </c>
      <c r="D10" s="209">
        <v>-689.90154000000007</v>
      </c>
    </row>
    <row r="11" spans="1:4" x14ac:dyDescent="0.3">
      <c r="A11" s="208" t="s">
        <v>951</v>
      </c>
      <c r="B11" s="324"/>
      <c r="C11" s="209">
        <f>-'TB IFRS'!J32/1000</f>
        <v>0</v>
      </c>
      <c r="D11" s="209">
        <v>0</v>
      </c>
    </row>
    <row r="12" spans="1:4" x14ac:dyDescent="0.3">
      <c r="A12" s="208" t="s">
        <v>952</v>
      </c>
      <c r="B12" s="324"/>
      <c r="C12" s="209">
        <v>0</v>
      </c>
      <c r="D12" s="209">
        <v>0</v>
      </c>
    </row>
    <row r="13" spans="1:4" x14ac:dyDescent="0.3">
      <c r="A13" s="208" t="s">
        <v>953</v>
      </c>
      <c r="B13" s="324"/>
      <c r="C13" s="209">
        <v>0</v>
      </c>
      <c r="D13" s="209">
        <v>0</v>
      </c>
    </row>
    <row r="14" spans="1:4" x14ac:dyDescent="0.3">
      <c r="A14" s="208" t="s">
        <v>954</v>
      </c>
      <c r="B14" s="324">
        <v>12</v>
      </c>
      <c r="C14" s="209">
        <f>-('TB IFRS'!J34+'TB IFRS'!J35)/1000</f>
        <v>-0.28282000000000007</v>
      </c>
      <c r="D14" s="209">
        <v>-0.39833999999999992</v>
      </c>
    </row>
    <row r="15" spans="1:4" x14ac:dyDescent="0.3">
      <c r="A15" s="208" t="s">
        <v>955</v>
      </c>
      <c r="B15" s="324">
        <v>12</v>
      </c>
      <c r="C15" s="209">
        <f>-SUM('TB IFRS'!J25:J30)/1000</f>
        <v>-10.794008986921337</v>
      </c>
      <c r="D15" s="209">
        <v>-12.605843281574822</v>
      </c>
    </row>
    <row r="16" spans="1:4" ht="15" thickBot="1" x14ac:dyDescent="0.35">
      <c r="A16" s="210" t="s">
        <v>956</v>
      </c>
      <c r="B16" s="323"/>
      <c r="C16" s="211">
        <f>SUM(C9:C15)</f>
        <v>29.879911013078857</v>
      </c>
      <c r="D16" s="211">
        <v>68.331496718425086</v>
      </c>
    </row>
    <row r="17" spans="1:4" x14ac:dyDescent="0.3">
      <c r="A17" s="208"/>
      <c r="B17" s="324"/>
      <c r="C17" s="212"/>
      <c r="D17" s="212"/>
    </row>
    <row r="18" spans="1:4" x14ac:dyDescent="0.3">
      <c r="B18" s="98"/>
      <c r="C18" s="213"/>
      <c r="D18" s="213"/>
    </row>
    <row r="19" spans="1:4" x14ac:dyDescent="0.3">
      <c r="A19" s="210" t="s">
        <v>957</v>
      </c>
      <c r="B19" s="323"/>
      <c r="C19" s="214">
        <f>C16</f>
        <v>29.879911013078857</v>
      </c>
      <c r="D19" s="214">
        <v>68.331496718425086</v>
      </c>
    </row>
    <row r="20" spans="1:4" x14ac:dyDescent="0.3">
      <c r="A20" s="208"/>
      <c r="B20" s="324"/>
      <c r="C20" s="213"/>
      <c r="D20" s="213"/>
    </row>
    <row r="21" spans="1:4" x14ac:dyDescent="0.3">
      <c r="A21" s="208" t="s">
        <v>958</v>
      </c>
      <c r="B21" s="324">
        <v>11</v>
      </c>
      <c r="C21" s="209">
        <f>'TB IFRS'!J36/-1000</f>
        <v>-0.22013999999999997</v>
      </c>
      <c r="D21" s="209">
        <v>-8.7866609288824389</v>
      </c>
    </row>
    <row r="22" spans="1:4" x14ac:dyDescent="0.3">
      <c r="A22" s="208" t="s">
        <v>959</v>
      </c>
      <c r="B22" s="324">
        <v>11</v>
      </c>
      <c r="C22" s="209">
        <f>'TB IFRS'!J37/-1000</f>
        <v>-5.9711699999999999</v>
      </c>
      <c r="D22" s="209">
        <v>-6.1536500000000007</v>
      </c>
    </row>
    <row r="23" spans="1:4" x14ac:dyDescent="0.3">
      <c r="A23" s="210" t="s">
        <v>960</v>
      </c>
      <c r="B23" s="323"/>
      <c r="C23" s="214">
        <f>C19+C21+C22</f>
        <v>23.688601013078856</v>
      </c>
      <c r="D23" s="214">
        <v>53.391185789542646</v>
      </c>
    </row>
    <row r="24" spans="1:4" x14ac:dyDescent="0.3">
      <c r="A24" s="215"/>
      <c r="B24" s="322"/>
      <c r="C24" s="216"/>
      <c r="D24" s="216"/>
    </row>
    <row r="25" spans="1:4" ht="15" thickBot="1" x14ac:dyDescent="0.35">
      <c r="A25" s="210" t="s">
        <v>961</v>
      </c>
      <c r="B25" s="323"/>
      <c r="C25" s="217">
        <f>C19+C21+C22</f>
        <v>23.688601013078856</v>
      </c>
      <c r="D25" s="217">
        <v>53.391185789542646</v>
      </c>
    </row>
    <row r="26" spans="1:4" ht="15" thickTop="1" x14ac:dyDescent="0.3">
      <c r="A26" s="208"/>
      <c r="B26" s="324"/>
      <c r="C26" s="213"/>
      <c r="D26" s="213"/>
    </row>
    <row r="27" spans="1:4" x14ac:dyDescent="0.3">
      <c r="A27" s="210" t="s">
        <v>962</v>
      </c>
      <c r="B27" s="323"/>
    </row>
    <row r="28" spans="1:4" x14ac:dyDescent="0.3">
      <c r="A28" s="208" t="s">
        <v>963</v>
      </c>
      <c r="B28" s="324"/>
      <c r="C28" s="213"/>
      <c r="D28" s="213"/>
    </row>
    <row r="29" spans="1:4" x14ac:dyDescent="0.3">
      <c r="A29" s="208" t="s">
        <v>964</v>
      </c>
      <c r="B29" s="324"/>
      <c r="C29" s="214">
        <f>C25</f>
        <v>23.688601013078856</v>
      </c>
      <c r="D29" s="214">
        <v>53.391185789542646</v>
      </c>
    </row>
    <row r="30" spans="1:4" x14ac:dyDescent="0.3">
      <c r="A30" s="208" t="s">
        <v>965</v>
      </c>
      <c r="B30" s="324"/>
      <c r="C30" s="214"/>
      <c r="D30" s="214"/>
    </row>
    <row r="31" spans="1:4" x14ac:dyDescent="0.3">
      <c r="A31" s="208" t="s">
        <v>964</v>
      </c>
      <c r="B31" s="324"/>
      <c r="C31" s="214"/>
      <c r="D31" s="214"/>
    </row>
    <row r="32" spans="1:4" ht="15" thickBot="1" x14ac:dyDescent="0.35">
      <c r="A32" s="210" t="s">
        <v>961</v>
      </c>
      <c r="B32" s="323"/>
      <c r="C32" s="217">
        <f>C29</f>
        <v>23.688601013078856</v>
      </c>
      <c r="D32" s="217">
        <v>53.391185789542646</v>
      </c>
    </row>
    <row r="33" spans="1:4" ht="15" thickTop="1" x14ac:dyDescent="0.3">
      <c r="A33" s="218"/>
      <c r="B33" s="218"/>
    </row>
    <row r="34" spans="1:4" x14ac:dyDescent="0.3">
      <c r="C34" s="219"/>
      <c r="D34" s="219"/>
    </row>
    <row r="35" spans="1:4" x14ac:dyDescent="0.3">
      <c r="A35" s="218"/>
      <c r="B35" s="218"/>
      <c r="C35" s="213"/>
      <c r="D35" s="213"/>
    </row>
    <row r="36" spans="1:4" x14ac:dyDescent="0.3">
      <c r="A36" s="215"/>
      <c r="B36" s="215"/>
    </row>
    <row r="37" spans="1:4" x14ac:dyDescent="0.3">
      <c r="A37" s="215"/>
      <c r="B37" s="215"/>
      <c r="C37" s="213"/>
      <c r="D37" s="213"/>
    </row>
    <row r="38" spans="1:4" x14ac:dyDescent="0.3">
      <c r="A38" s="218"/>
      <c r="B38" s="218"/>
      <c r="C38" s="219"/>
      <c r="D38" s="219"/>
    </row>
    <row r="39" spans="1:4" x14ac:dyDescent="0.3">
      <c r="A39" s="215"/>
      <c r="B39" s="215"/>
    </row>
    <row r="40" spans="1:4" x14ac:dyDescent="0.3">
      <c r="C40" s="219"/>
      <c r="D40" s="219"/>
    </row>
    <row r="41" spans="1:4" x14ac:dyDescent="0.3">
      <c r="C41" s="219"/>
      <c r="D41" s="219"/>
    </row>
  </sheetData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DF02-A2AE-4BF2-858B-34A28C296711}">
  <sheetPr codeName="List16">
    <tabColor rgb="FFFFC000"/>
  </sheetPr>
  <dimension ref="A1:K63"/>
  <sheetViews>
    <sheetView topLeftCell="A16" workbookViewId="0">
      <selection activeCell="C35" activeCellId="1" sqref="C29 C35"/>
    </sheetView>
  </sheetViews>
  <sheetFormatPr defaultColWidth="8.109375" defaultRowHeight="13.8" x14ac:dyDescent="0.25"/>
  <cols>
    <col min="1" max="1" width="49.44140625" style="199" customWidth="1"/>
    <col min="2" max="2" width="10" style="304" customWidth="1"/>
    <col min="3" max="3" width="19.88671875" style="220" customWidth="1"/>
    <col min="4" max="4" width="17.21875" style="220" bestFit="1" customWidth="1"/>
    <col min="5" max="7" width="8.109375" style="199"/>
    <col min="8" max="8" width="14" style="199" bestFit="1" customWidth="1"/>
    <col min="9" max="9" width="15.44140625" style="199" bestFit="1" customWidth="1"/>
    <col min="10" max="16384" width="8.109375" style="199"/>
  </cols>
  <sheetData>
    <row r="1" spans="1:11" x14ac:dyDescent="0.25">
      <c r="A1" s="198" t="str">
        <f>SOCI!A1</f>
        <v>GEVORKYAN CZ, s.r.o.</v>
      </c>
      <c r="B1" s="320"/>
    </row>
    <row r="2" spans="1:11" ht="17.399999999999999" x14ac:dyDescent="0.3">
      <c r="A2" s="200" t="s">
        <v>966</v>
      </c>
      <c r="B2" s="319"/>
    </row>
    <row r="3" spans="1:11" ht="13.95" customHeight="1" x14ac:dyDescent="0.25">
      <c r="A3" s="202" t="str">
        <f>SOCI!A3</f>
        <v>k 30. červnu 2024</v>
      </c>
      <c r="B3" s="318"/>
    </row>
    <row r="4" spans="1:11" ht="13.95" customHeight="1" x14ac:dyDescent="0.25">
      <c r="A4" s="203" t="s">
        <v>50</v>
      </c>
      <c r="B4" s="317"/>
    </row>
    <row r="5" spans="1:11" ht="13.95" customHeight="1" x14ac:dyDescent="0.3">
      <c r="A5" s="221"/>
      <c r="B5" s="316"/>
    </row>
    <row r="6" spans="1:11" ht="26.4" x14ac:dyDescent="0.25">
      <c r="A6" s="208"/>
      <c r="B6" s="321" t="s">
        <v>1019</v>
      </c>
      <c r="C6" s="202" t="s">
        <v>1796</v>
      </c>
      <c r="D6" s="339" t="s">
        <v>1606</v>
      </c>
    </row>
    <row r="7" spans="1:11" ht="13.95" customHeight="1" x14ac:dyDescent="0.25">
      <c r="A7" s="222" t="s">
        <v>967</v>
      </c>
      <c r="B7" s="315"/>
      <c r="C7" s="207"/>
      <c r="D7" s="207"/>
    </row>
    <row r="8" spans="1:11" ht="13.95" customHeight="1" x14ac:dyDescent="0.25">
      <c r="A8" s="223" t="s">
        <v>968</v>
      </c>
      <c r="B8" s="314">
        <v>6</v>
      </c>
      <c r="C8" s="209">
        <f>'TB IFRS'!J4/1000+'TB IFRS'!J13/1000+'TB IFRS'!J5/1000-C13</f>
        <v>29012.265030000002</v>
      </c>
      <c r="D8" s="209">
        <v>28299.094160000004</v>
      </c>
      <c r="F8" s="219">
        <f>D8-C8</f>
        <v>-713.1708699999981</v>
      </c>
      <c r="I8" s="219"/>
      <c r="K8" s="219"/>
    </row>
    <row r="9" spans="1:11" ht="13.95" customHeight="1" x14ac:dyDescent="0.25">
      <c r="A9" s="224" t="s">
        <v>969</v>
      </c>
      <c r="B9" s="313"/>
      <c r="C9" s="225">
        <f>C8</f>
        <v>29012.265030000002</v>
      </c>
      <c r="D9" s="225">
        <v>28299.094160000004</v>
      </c>
      <c r="I9" s="219"/>
    </row>
    <row r="10" spans="1:11" ht="13.95" customHeight="1" x14ac:dyDescent="0.25">
      <c r="A10" s="226" t="s">
        <v>970</v>
      </c>
      <c r="B10" s="312">
        <v>11</v>
      </c>
      <c r="C10" s="209">
        <f>'TB IFRS'!J24/1000</f>
        <v>27.591819999999998</v>
      </c>
      <c r="D10" s="209">
        <v>33.562989999999999</v>
      </c>
      <c r="I10" s="219"/>
    </row>
    <row r="11" spans="1:11" ht="13.95" customHeight="1" x14ac:dyDescent="0.25">
      <c r="A11" s="222" t="s">
        <v>971</v>
      </c>
      <c r="B11" s="315"/>
      <c r="C11" s="214">
        <f>C8+C10</f>
        <v>29039.856850000004</v>
      </c>
      <c r="D11" s="214">
        <v>28332.657150000003</v>
      </c>
    </row>
    <row r="12" spans="1:11" ht="13.95" customHeight="1" x14ac:dyDescent="0.25">
      <c r="A12" s="227"/>
      <c r="B12" s="311"/>
      <c r="C12" s="228"/>
      <c r="D12" s="228"/>
    </row>
    <row r="13" spans="1:11" ht="13.95" customHeight="1" x14ac:dyDescent="0.25">
      <c r="A13" s="226" t="s">
        <v>972</v>
      </c>
      <c r="B13" s="312">
        <v>6</v>
      </c>
      <c r="C13" s="209">
        <f>-SUM('067'!AD60:AD71)/1000</f>
        <v>1440</v>
      </c>
      <c r="D13" s="209">
        <v>1440</v>
      </c>
      <c r="F13" s="219">
        <f>D13-C13</f>
        <v>0</v>
      </c>
    </row>
    <row r="14" spans="1:11" ht="13.95" customHeight="1" x14ac:dyDescent="0.25">
      <c r="A14" s="229" t="s">
        <v>969</v>
      </c>
      <c r="B14" s="310"/>
      <c r="C14" s="225">
        <f>C13</f>
        <v>1440</v>
      </c>
      <c r="D14" s="225">
        <v>1440</v>
      </c>
    </row>
    <row r="15" spans="1:11" ht="13.95" customHeight="1" x14ac:dyDescent="0.25">
      <c r="A15" s="226" t="s">
        <v>973</v>
      </c>
      <c r="B15" s="312">
        <v>7</v>
      </c>
      <c r="C15" s="209">
        <v>0</v>
      </c>
      <c r="D15" s="209">
        <v>0</v>
      </c>
    </row>
    <row r="16" spans="1:11" ht="13.95" customHeight="1" x14ac:dyDescent="0.25">
      <c r="A16" s="229" t="s">
        <v>969</v>
      </c>
      <c r="B16" s="310"/>
      <c r="C16" s="209">
        <v>0</v>
      </c>
      <c r="D16" s="209">
        <v>0</v>
      </c>
    </row>
    <row r="17" spans="1:10" ht="13.95" customHeight="1" x14ac:dyDescent="0.25">
      <c r="A17" s="226" t="s">
        <v>1474</v>
      </c>
      <c r="B17" s="310">
        <v>7</v>
      </c>
      <c r="C17" s="209">
        <f>'TB IFRS'!J10/1000</f>
        <v>36.202237663233404</v>
      </c>
      <c r="D17" s="209">
        <v>30.775737663233404</v>
      </c>
    </row>
    <row r="18" spans="1:10" ht="13.95" customHeight="1" x14ac:dyDescent="0.25">
      <c r="A18" s="226" t="s">
        <v>974</v>
      </c>
      <c r="B18" s="312" t="s">
        <v>49</v>
      </c>
      <c r="C18" s="209"/>
      <c r="D18" s="209"/>
    </row>
    <row r="19" spans="1:10" ht="13.95" customHeight="1" x14ac:dyDescent="0.25">
      <c r="A19" s="226" t="s">
        <v>975</v>
      </c>
      <c r="B19" s="312">
        <v>5</v>
      </c>
      <c r="C19" s="209">
        <f>('TB IFRS'!J6+'TB IFRS'!J7)/1000</f>
        <v>15.877320393704345</v>
      </c>
      <c r="D19" s="209">
        <v>37.107880393704335</v>
      </c>
    </row>
    <row r="20" spans="1:10" ht="13.95" customHeight="1" x14ac:dyDescent="0.25">
      <c r="A20" s="222" t="s">
        <v>976</v>
      </c>
      <c r="B20" s="315"/>
      <c r="C20" s="214">
        <f>C15+C19+C13+C18+C17</f>
        <v>1492.0795580569379</v>
      </c>
      <c r="D20" s="214">
        <v>1507.8836180569378</v>
      </c>
    </row>
    <row r="21" spans="1:10" ht="13.95" customHeight="1" thickBot="1" x14ac:dyDescent="0.3">
      <c r="A21" s="222" t="s">
        <v>977</v>
      </c>
      <c r="B21" s="315"/>
      <c r="C21" s="217">
        <f>C11+C20</f>
        <v>30531.936408056943</v>
      </c>
      <c r="D21" s="217">
        <v>29840.540768056941</v>
      </c>
      <c r="J21" s="219"/>
    </row>
    <row r="22" spans="1:10" ht="13.95" customHeight="1" thickTop="1" x14ac:dyDescent="0.25">
      <c r="A22" s="222"/>
      <c r="B22" s="315"/>
      <c r="C22" s="230"/>
      <c r="D22" s="230"/>
    </row>
    <row r="23" spans="1:10" ht="13.95" customHeight="1" x14ac:dyDescent="0.25">
      <c r="A23" s="222" t="s">
        <v>978</v>
      </c>
      <c r="B23" s="315"/>
      <c r="C23" s="231"/>
      <c r="D23" s="232"/>
    </row>
    <row r="24" spans="1:10" ht="13.95" customHeight="1" x14ac:dyDescent="0.25">
      <c r="A24" s="226" t="s">
        <v>815</v>
      </c>
      <c r="B24" s="312">
        <v>8</v>
      </c>
      <c r="C24" s="209">
        <f>-'TB IFRS'!J17/1000</f>
        <v>2.2320393700787401E-2</v>
      </c>
      <c r="D24" s="209">
        <v>2.2320393700787401E-2</v>
      </c>
    </row>
    <row r="25" spans="1:10" x14ac:dyDescent="0.25">
      <c r="A25" s="233" t="s">
        <v>979</v>
      </c>
      <c r="B25" s="309"/>
      <c r="C25" s="209">
        <f>(-'TB IFRS'!J18-'TB IFRS'!J19-'TB IFRS'!J43)/1000</f>
        <v>-169.33273248417041</v>
      </c>
      <c r="D25" s="209">
        <v>-193.02133349724923</v>
      </c>
      <c r="G25" s="219"/>
    </row>
    <row r="26" spans="1:10" ht="13.95" customHeight="1" x14ac:dyDescent="0.25">
      <c r="A26" s="222" t="s">
        <v>980</v>
      </c>
      <c r="B26" s="315"/>
      <c r="C26" s="214">
        <f>C24+C25</f>
        <v>-169.31041209046961</v>
      </c>
      <c r="D26" s="214">
        <v>-192.99901310354844</v>
      </c>
    </row>
    <row r="27" spans="1:10" ht="13.95" customHeight="1" x14ac:dyDescent="0.25">
      <c r="A27" s="227"/>
      <c r="B27" s="311"/>
      <c r="C27" s="234"/>
      <c r="D27" s="234"/>
    </row>
    <row r="28" spans="1:10" ht="13.95" customHeight="1" x14ac:dyDescent="0.25">
      <c r="A28" s="222" t="s">
        <v>981</v>
      </c>
      <c r="B28" s="315"/>
      <c r="C28" s="235"/>
      <c r="D28" s="235"/>
    </row>
    <row r="29" spans="1:10" ht="13.95" customHeight="1" x14ac:dyDescent="0.25">
      <c r="A29" s="233" t="s">
        <v>982</v>
      </c>
      <c r="B29" s="309">
        <v>9</v>
      </c>
      <c r="C29" s="236">
        <f>-'TB IFRS'!N20/1000+'473-SB'!G70/1000</f>
        <v>29346.815307990488</v>
      </c>
      <c r="D29" s="236">
        <v>28651.903417990488</v>
      </c>
      <c r="F29" s="219">
        <f>D29-C29</f>
        <v>-694.9118899999994</v>
      </c>
    </row>
    <row r="30" spans="1:10" ht="13.95" customHeight="1" x14ac:dyDescent="0.25">
      <c r="A30" s="229" t="s">
        <v>969</v>
      </c>
      <c r="B30" s="310"/>
      <c r="C30" s="236">
        <v>0</v>
      </c>
      <c r="D30" s="236">
        <v>0</v>
      </c>
    </row>
    <row r="31" spans="1:10" ht="13.95" customHeight="1" x14ac:dyDescent="0.25">
      <c r="A31" s="226" t="s">
        <v>983</v>
      </c>
      <c r="B31" s="312" t="s">
        <v>49</v>
      </c>
      <c r="C31" s="236">
        <v>0</v>
      </c>
      <c r="D31" s="236">
        <v>0</v>
      </c>
      <c r="G31" s="219"/>
    </row>
    <row r="32" spans="1:10" ht="13.95" customHeight="1" x14ac:dyDescent="0.25">
      <c r="A32" s="226" t="s">
        <v>984</v>
      </c>
      <c r="B32" s="312" t="s">
        <v>49</v>
      </c>
      <c r="C32" s="236">
        <v>0</v>
      </c>
      <c r="D32" s="237">
        <v>0</v>
      </c>
    </row>
    <row r="33" spans="1:9" ht="13.95" customHeight="1" x14ac:dyDescent="0.25">
      <c r="A33" s="222" t="s">
        <v>985</v>
      </c>
      <c r="B33" s="315"/>
      <c r="C33" s="238">
        <f>SUM(C29:C32)</f>
        <v>29346.815307990488</v>
      </c>
      <c r="D33" s="238">
        <v>28651.903417990488</v>
      </c>
    </row>
    <row r="34" spans="1:9" ht="13.95" customHeight="1" x14ac:dyDescent="0.25">
      <c r="A34" s="226"/>
      <c r="B34" s="312"/>
      <c r="C34" s="237"/>
      <c r="D34" s="237"/>
      <c r="I34" s="239"/>
    </row>
    <row r="35" spans="1:9" ht="13.95" customHeight="1" x14ac:dyDescent="0.25">
      <c r="A35" s="233" t="s">
        <v>986</v>
      </c>
      <c r="B35" s="309">
        <v>9</v>
      </c>
      <c r="C35" s="236">
        <f>-'473-SB'!G70/1000</f>
        <v>1350</v>
      </c>
      <c r="D35" s="236">
        <v>1350</v>
      </c>
    </row>
    <row r="36" spans="1:9" ht="13.95" customHeight="1" x14ac:dyDescent="0.25">
      <c r="A36" s="226" t="s">
        <v>987</v>
      </c>
      <c r="B36" s="312">
        <v>10</v>
      </c>
      <c r="C36" s="240">
        <f>-('TB IFRS'!J9+'TB IFRS'!J15)/1000</f>
        <v>4.4467711789164586</v>
      </c>
      <c r="D36" s="240">
        <v>31.192892191995121</v>
      </c>
      <c r="I36" s="239"/>
    </row>
    <row r="37" spans="1:9" ht="13.95" customHeight="1" x14ac:dyDescent="0.25">
      <c r="A37" s="226" t="s">
        <v>988</v>
      </c>
      <c r="B37" s="312">
        <v>10</v>
      </c>
      <c r="C37" s="237">
        <v>0</v>
      </c>
      <c r="D37" s="237">
        <v>1</v>
      </c>
    </row>
    <row r="38" spans="1:9" ht="13.95" customHeight="1" x14ac:dyDescent="0.25">
      <c r="A38" s="222" t="s">
        <v>989</v>
      </c>
      <c r="B38" s="315"/>
      <c r="C38" s="241">
        <f>C35+C36+C37</f>
        <v>1354.4467711789164</v>
      </c>
      <c r="D38" s="241">
        <v>1382.192892191995</v>
      </c>
    </row>
    <row r="39" spans="1:9" ht="13.95" customHeight="1" x14ac:dyDescent="0.25">
      <c r="A39" s="242" t="s">
        <v>990</v>
      </c>
      <c r="B39" s="308"/>
      <c r="C39" s="241">
        <f>C33+C38</f>
        <v>30701.262079169403</v>
      </c>
      <c r="D39" s="241">
        <v>30034.096310182482</v>
      </c>
    </row>
    <row r="40" spans="1:9" ht="13.95" customHeight="1" thickBot="1" x14ac:dyDescent="0.3">
      <c r="A40" s="222" t="s">
        <v>991</v>
      </c>
      <c r="B40" s="315"/>
      <c r="C40" s="243">
        <f>C26+C39</f>
        <v>30531.951667078934</v>
      </c>
      <c r="D40" s="243">
        <v>29841.097297078933</v>
      </c>
    </row>
    <row r="41" spans="1:9" ht="14.4" thickTop="1" x14ac:dyDescent="0.25">
      <c r="A41" s="244"/>
      <c r="B41" s="311"/>
      <c r="C41" s="245"/>
      <c r="D41" s="245"/>
    </row>
    <row r="42" spans="1:9" x14ac:dyDescent="0.25">
      <c r="A42" s="246"/>
      <c r="B42" s="307"/>
      <c r="C42" s="247"/>
      <c r="D42" s="247"/>
    </row>
    <row r="43" spans="1:9" x14ac:dyDescent="0.25">
      <c r="A43" s="244"/>
      <c r="B43" s="311"/>
      <c r="C43" s="248"/>
      <c r="D43" s="249"/>
    </row>
    <row r="44" spans="1:9" x14ac:dyDescent="0.25">
      <c r="A44" s="244"/>
      <c r="B44" s="311"/>
      <c r="C44" s="250"/>
      <c r="D44" s="250"/>
    </row>
    <row r="45" spans="1:9" x14ac:dyDescent="0.25">
      <c r="A45" s="244"/>
      <c r="B45" s="311"/>
      <c r="C45" s="249"/>
      <c r="D45" s="249"/>
    </row>
    <row r="46" spans="1:9" x14ac:dyDescent="0.25">
      <c r="A46" s="244"/>
      <c r="B46" s="311"/>
      <c r="C46" s="251"/>
      <c r="D46" s="251"/>
    </row>
    <row r="47" spans="1:9" x14ac:dyDescent="0.25">
      <c r="A47" s="244"/>
      <c r="B47" s="311"/>
      <c r="C47" s="249"/>
      <c r="D47" s="249"/>
    </row>
    <row r="48" spans="1:9" x14ac:dyDescent="0.25">
      <c r="A48" s="244"/>
      <c r="B48" s="311"/>
      <c r="C48" s="252"/>
      <c r="D48" s="252"/>
    </row>
    <row r="49" spans="1:4" x14ac:dyDescent="0.25">
      <c r="A49" s="244"/>
      <c r="B49" s="311"/>
      <c r="C49" s="249"/>
      <c r="D49" s="249"/>
    </row>
    <row r="50" spans="1:4" ht="14.4" x14ac:dyDescent="0.3">
      <c r="A50" s="253"/>
      <c r="B50" s="306"/>
      <c r="C50" s="254"/>
      <c r="D50" s="254"/>
    </row>
    <row r="51" spans="1:4" x14ac:dyDescent="0.25">
      <c r="A51" s="244"/>
      <c r="B51" s="311"/>
      <c r="C51" s="249"/>
      <c r="D51" s="249"/>
    </row>
    <row r="52" spans="1:4" ht="14.4" x14ac:dyDescent="0.3">
      <c r="A52" s="253"/>
      <c r="B52" s="306"/>
      <c r="C52" s="249"/>
      <c r="D52" s="249"/>
    </row>
    <row r="53" spans="1:4" ht="14.4" x14ac:dyDescent="0.3">
      <c r="A53" s="253"/>
      <c r="B53" s="306"/>
      <c r="C53" s="254"/>
      <c r="D53" s="254"/>
    </row>
    <row r="54" spans="1:4" ht="14.4" x14ac:dyDescent="0.3">
      <c r="A54" s="253"/>
      <c r="B54" s="306"/>
      <c r="C54" s="254"/>
      <c r="D54" s="254"/>
    </row>
    <row r="55" spans="1:4" ht="14.4" x14ac:dyDescent="0.3">
      <c r="A55" s="253"/>
      <c r="B55" s="306"/>
      <c r="C55" s="249"/>
      <c r="D55" s="249"/>
    </row>
    <row r="56" spans="1:4" ht="14.4" x14ac:dyDescent="0.3">
      <c r="A56" s="253"/>
      <c r="B56" s="306"/>
      <c r="C56" s="254"/>
      <c r="D56" s="254"/>
    </row>
    <row r="57" spans="1:4" ht="14.4" x14ac:dyDescent="0.3">
      <c r="A57" s="253"/>
      <c r="B57" s="306"/>
      <c r="C57" s="254"/>
      <c r="D57" s="254"/>
    </row>
    <row r="59" spans="1:4" x14ac:dyDescent="0.25">
      <c r="A59" s="215"/>
      <c r="B59" s="318"/>
    </row>
    <row r="60" spans="1:4" x14ac:dyDescent="0.25">
      <c r="A60" s="218"/>
      <c r="B60" s="305"/>
    </row>
    <row r="61" spans="1:4" x14ac:dyDescent="0.25">
      <c r="A61" s="218"/>
      <c r="B61" s="305"/>
    </row>
    <row r="62" spans="1:4" x14ac:dyDescent="0.25">
      <c r="A62" s="218"/>
      <c r="B62" s="305"/>
    </row>
    <row r="63" spans="1:4" x14ac:dyDescent="0.25">
      <c r="A63" s="215"/>
      <c r="B63" s="318"/>
      <c r="C63" s="255"/>
      <c r="D63" s="255"/>
    </row>
  </sheetData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9880D-B50C-4410-8588-77202524C576}">
  <sheetPr codeName="List17">
    <tabColor rgb="FFFFC000"/>
  </sheetPr>
  <dimension ref="A1:F25"/>
  <sheetViews>
    <sheetView workbookViewId="0">
      <selection activeCell="D10" sqref="B6:D10"/>
    </sheetView>
  </sheetViews>
  <sheetFormatPr defaultColWidth="8.109375" defaultRowHeight="13.8" x14ac:dyDescent="0.25"/>
  <cols>
    <col min="1" max="1" width="32.109375" style="199" customWidth="1"/>
    <col min="2" max="4" width="15.21875" style="199" customWidth="1"/>
    <col min="5" max="5" width="10.5546875" style="199" customWidth="1"/>
    <col min="6" max="6" width="11.5546875" style="199" bestFit="1" customWidth="1"/>
    <col min="7" max="16384" width="8.109375" style="199"/>
  </cols>
  <sheetData>
    <row r="1" spans="1:6" x14ac:dyDescent="0.25">
      <c r="A1" s="198" t="str">
        <f>SOCI!A1</f>
        <v>GEVORKYAN CZ, s.r.o.</v>
      </c>
      <c r="D1" s="213"/>
    </row>
    <row r="2" spans="1:6" ht="17.399999999999999" x14ac:dyDescent="0.3">
      <c r="A2" s="200" t="s">
        <v>992</v>
      </c>
    </row>
    <row r="3" spans="1:6" x14ac:dyDescent="0.25">
      <c r="A3" s="256" t="str">
        <f>SOCI!A3</f>
        <v>k 30. červnu 2024</v>
      </c>
    </row>
    <row r="4" spans="1:6" x14ac:dyDescent="0.25">
      <c r="A4" s="203" t="s">
        <v>50</v>
      </c>
    </row>
    <row r="5" spans="1:6" ht="26.4" x14ac:dyDescent="0.25">
      <c r="B5" s="257" t="s">
        <v>815</v>
      </c>
      <c r="C5" s="257" t="s">
        <v>993</v>
      </c>
      <c r="D5" s="257" t="s">
        <v>980</v>
      </c>
      <c r="F5" s="258"/>
    </row>
    <row r="6" spans="1:6" x14ac:dyDescent="0.25">
      <c r="A6" s="210" t="s">
        <v>1605</v>
      </c>
      <c r="B6" s="259">
        <f>-'TB IFRS'!J17/1000</f>
        <v>2.2320393700787401E-2</v>
      </c>
      <c r="C6" s="241">
        <f>SOFP!D25</f>
        <v>-193.02133349724923</v>
      </c>
      <c r="D6" s="241">
        <f>B6+C6</f>
        <v>-192.99901310354844</v>
      </c>
      <c r="F6" s="260"/>
    </row>
    <row r="7" spans="1:6" ht="26.4" x14ac:dyDescent="0.25">
      <c r="A7" s="261" t="s">
        <v>994</v>
      </c>
      <c r="B7" s="262"/>
      <c r="C7" s="262"/>
      <c r="D7" s="262"/>
      <c r="F7" s="212"/>
    </row>
    <row r="8" spans="1:6" x14ac:dyDescent="0.25">
      <c r="A8" s="208" t="s">
        <v>995</v>
      </c>
      <c r="B8" s="236">
        <v>0</v>
      </c>
      <c r="C8" s="236">
        <f>-'TB IFRS'!J43/1000</f>
        <v>23.688601013078827</v>
      </c>
      <c r="D8" s="264">
        <f>B8+C8</f>
        <v>23.688601013078827</v>
      </c>
      <c r="F8" s="212"/>
    </row>
    <row r="9" spans="1:6" x14ac:dyDescent="0.25">
      <c r="A9" s="208"/>
      <c r="B9" s="265"/>
      <c r="C9" s="265"/>
      <c r="D9" s="265"/>
      <c r="F9" s="260"/>
    </row>
    <row r="10" spans="1:6" x14ac:dyDescent="0.25">
      <c r="A10" s="210" t="s">
        <v>1799</v>
      </c>
      <c r="B10" s="259">
        <f>B6</f>
        <v>2.2320393700787401E-2</v>
      </c>
      <c r="C10" s="241">
        <f>SUM(C6:C9)</f>
        <v>-169.33273248417041</v>
      </c>
      <c r="D10" s="241">
        <f>D6+D8</f>
        <v>-169.31041209046961</v>
      </c>
      <c r="F10" s="260"/>
    </row>
    <row r="11" spans="1:6" x14ac:dyDescent="0.25">
      <c r="B11" s="212"/>
      <c r="C11" s="212"/>
      <c r="D11" s="212"/>
      <c r="E11" s="212"/>
      <c r="F11" s="212"/>
    </row>
    <row r="12" spans="1:6" x14ac:dyDescent="0.25">
      <c r="B12" s="212"/>
      <c r="C12" s="212"/>
      <c r="D12" s="212"/>
      <c r="E12" s="212"/>
      <c r="F12" s="212"/>
    </row>
    <row r="13" spans="1:6" x14ac:dyDescent="0.25">
      <c r="A13" s="267"/>
      <c r="B13" s="268"/>
      <c r="C13" s="268"/>
      <c r="D13" s="268"/>
      <c r="E13" s="268"/>
      <c r="F13" s="268"/>
    </row>
    <row r="14" spans="1:6" ht="26.4" hidden="1" x14ac:dyDescent="0.25">
      <c r="B14" s="257" t="s">
        <v>815</v>
      </c>
      <c r="C14" s="257" t="s">
        <v>993</v>
      </c>
      <c r="D14" s="257" t="s">
        <v>980</v>
      </c>
    </row>
    <row r="15" spans="1:6" hidden="1" x14ac:dyDescent="0.25">
      <c r="A15" s="210" t="s">
        <v>996</v>
      </c>
      <c r="B15" s="259">
        <v>78.514510000000001</v>
      </c>
      <c r="C15" s="259">
        <v>-3550</v>
      </c>
      <c r="D15" s="269">
        <v>-3471</v>
      </c>
      <c r="F15" s="210"/>
    </row>
    <row r="16" spans="1:6" ht="26.4" hidden="1" x14ac:dyDescent="0.25">
      <c r="A16" s="261" t="s">
        <v>994</v>
      </c>
      <c r="B16" s="262"/>
      <c r="C16" s="262"/>
      <c r="D16" s="263"/>
      <c r="F16" s="261"/>
    </row>
    <row r="17" spans="1:6" hidden="1" x14ac:dyDescent="0.25">
      <c r="A17" s="208" t="s">
        <v>995</v>
      </c>
      <c r="B17" s="262">
        <v>0</v>
      </c>
      <c r="C17" s="262">
        <v>-936</v>
      </c>
      <c r="D17" s="270">
        <v>-936</v>
      </c>
      <c r="F17" s="208"/>
    </row>
    <row r="18" spans="1:6" hidden="1" x14ac:dyDescent="0.25">
      <c r="A18" s="208"/>
      <c r="B18" s="265"/>
      <c r="C18" s="265"/>
      <c r="D18" s="266"/>
      <c r="F18" s="208"/>
    </row>
    <row r="19" spans="1:6" hidden="1" x14ac:dyDescent="0.25">
      <c r="A19" s="210" t="s">
        <v>997</v>
      </c>
      <c r="B19" s="259">
        <v>78.514510000000001</v>
      </c>
      <c r="C19" s="259">
        <f>SUM(C15:C18)</f>
        <v>-4486</v>
      </c>
      <c r="D19" s="269">
        <v>-4407</v>
      </c>
      <c r="F19" s="210"/>
    </row>
    <row r="20" spans="1:6" hidden="1" x14ac:dyDescent="0.25"/>
    <row r="25" spans="1:6" x14ac:dyDescent="0.25">
      <c r="B25" s="271"/>
      <c r="C25" s="271"/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03798-9778-4726-94DE-FA8F86937047}">
  <sheetPr codeName="List18">
    <tabColor rgb="FFFFC000"/>
  </sheetPr>
  <dimension ref="A1:F31"/>
  <sheetViews>
    <sheetView workbookViewId="0">
      <selection activeCell="D28" sqref="A2:D28"/>
    </sheetView>
  </sheetViews>
  <sheetFormatPr defaultRowHeight="14.4" x14ac:dyDescent="0.3"/>
  <cols>
    <col min="1" max="1" width="50.44140625" customWidth="1"/>
    <col min="2" max="2" width="8.6640625" customWidth="1"/>
    <col min="3" max="3" width="13.5546875" customWidth="1"/>
    <col min="4" max="4" width="17.21875" customWidth="1"/>
  </cols>
  <sheetData>
    <row r="1" spans="1:4" ht="40.200000000000003" thickBot="1" x14ac:dyDescent="0.35">
      <c r="A1" s="275"/>
      <c r="B1" s="276" t="s">
        <v>1019</v>
      </c>
      <c r="C1" s="276" t="s">
        <v>1607</v>
      </c>
      <c r="D1" s="276" t="s">
        <v>1472</v>
      </c>
    </row>
    <row r="2" spans="1:4" x14ac:dyDescent="0.3">
      <c r="A2" s="277" t="s">
        <v>1020</v>
      </c>
      <c r="B2" s="278"/>
      <c r="C2" s="279"/>
      <c r="D2" s="279"/>
    </row>
    <row r="3" spans="1:4" x14ac:dyDescent="0.3">
      <c r="A3" s="280" t="s">
        <v>1021</v>
      </c>
      <c r="B3" s="281"/>
      <c r="C3" s="282">
        <f>SOCI!C16</f>
        <v>29.879911013078857</v>
      </c>
      <c r="D3" s="282">
        <v>-105.59664866910967</v>
      </c>
    </row>
    <row r="4" spans="1:4" x14ac:dyDescent="0.3">
      <c r="A4" s="283"/>
      <c r="B4" s="284"/>
      <c r="C4" s="283"/>
      <c r="D4" s="283"/>
    </row>
    <row r="5" spans="1:4" x14ac:dyDescent="0.3">
      <c r="A5" s="283" t="s">
        <v>1022</v>
      </c>
      <c r="B5" s="284"/>
    </row>
    <row r="6" spans="1:4" x14ac:dyDescent="0.3">
      <c r="A6" s="285"/>
      <c r="B6" s="284"/>
      <c r="C6" s="286"/>
      <c r="D6" s="286"/>
    </row>
    <row r="7" spans="1:4" x14ac:dyDescent="0.3">
      <c r="A7" s="285" t="s">
        <v>1023</v>
      </c>
      <c r="B7" s="284"/>
      <c r="C7" s="286"/>
      <c r="D7" s="286"/>
    </row>
    <row r="8" spans="1:4" x14ac:dyDescent="0.3">
      <c r="A8" s="285" t="s">
        <v>1024</v>
      </c>
      <c r="B8" s="284"/>
    </row>
    <row r="9" spans="1:4" x14ac:dyDescent="0.3">
      <c r="A9" s="285" t="s">
        <v>1025</v>
      </c>
      <c r="B9" s="284"/>
    </row>
    <row r="10" spans="1:4" x14ac:dyDescent="0.3">
      <c r="A10" s="285" t="s">
        <v>1026</v>
      </c>
      <c r="B10" s="284">
        <v>6.14</v>
      </c>
      <c r="C10" s="209">
        <f>-SOCI!C11</f>
        <v>0</v>
      </c>
      <c r="D10" s="209">
        <v>180.51051000000001</v>
      </c>
    </row>
    <row r="11" spans="1:4" x14ac:dyDescent="0.3">
      <c r="A11" s="285" t="s">
        <v>1027</v>
      </c>
      <c r="B11" s="284">
        <v>14</v>
      </c>
      <c r="C11" s="209"/>
    </row>
    <row r="12" spans="1:4" x14ac:dyDescent="0.3">
      <c r="A12" s="287" t="s">
        <v>1028</v>
      </c>
      <c r="B12" s="281">
        <v>14</v>
      </c>
      <c r="C12" s="282">
        <f>-(SOCI!C9+SOCI!C10)</f>
        <v>-40.956740000000195</v>
      </c>
      <c r="D12" s="282">
        <v>-131.05795000000035</v>
      </c>
    </row>
    <row r="13" spans="1:4" x14ac:dyDescent="0.3">
      <c r="A13" s="283"/>
      <c r="B13" s="288"/>
      <c r="C13" s="289"/>
      <c r="D13" s="289"/>
    </row>
    <row r="14" spans="1:4" x14ac:dyDescent="0.3">
      <c r="A14" s="285" t="s">
        <v>1029</v>
      </c>
      <c r="B14" s="284">
        <v>7</v>
      </c>
      <c r="C14" s="209">
        <f>SOFP!D17-SOFP!C17+SOFP!D10-SOFP!C10</f>
        <v>0.54466999999999999</v>
      </c>
      <c r="D14" s="209">
        <v>-2.4643590711175598</v>
      </c>
    </row>
    <row r="15" spans="1:4" x14ac:dyDescent="0.3">
      <c r="A15" s="285" t="s">
        <v>1030</v>
      </c>
      <c r="B15" s="284">
        <v>10</v>
      </c>
      <c r="C15" s="209">
        <v>1</v>
      </c>
      <c r="D15" s="209">
        <v>1</v>
      </c>
    </row>
    <row r="16" spans="1:4" ht="26.4" x14ac:dyDescent="0.3">
      <c r="A16" s="422" t="s">
        <v>1031</v>
      </c>
      <c r="B16" s="284">
        <v>12</v>
      </c>
      <c r="C16" s="423"/>
      <c r="D16" s="423">
        <v>-18</v>
      </c>
    </row>
    <row r="17" spans="1:6" x14ac:dyDescent="0.3">
      <c r="A17" s="285" t="s">
        <v>1032</v>
      </c>
      <c r="B17" s="284">
        <v>6</v>
      </c>
      <c r="C17" s="209"/>
      <c r="D17" s="209"/>
    </row>
    <row r="18" spans="1:6" x14ac:dyDescent="0.3">
      <c r="A18" s="285" t="s">
        <v>1033</v>
      </c>
      <c r="B18" s="284"/>
      <c r="C18" s="209"/>
      <c r="D18" s="209"/>
    </row>
    <row r="19" spans="1:6" x14ac:dyDescent="0.3">
      <c r="A19" s="285" t="s">
        <v>1034</v>
      </c>
      <c r="B19" s="284">
        <v>6</v>
      </c>
      <c r="C19" s="209">
        <f>-SUM('půjčka výpočet'!G20:G22)/1000</f>
        <v>22.684930000000001</v>
      </c>
      <c r="D19" s="209">
        <v>1459.2143799999999</v>
      </c>
    </row>
    <row r="20" spans="1:6" x14ac:dyDescent="0.3">
      <c r="A20" s="285" t="s">
        <v>1035</v>
      </c>
      <c r="B20" s="284">
        <v>9</v>
      </c>
      <c r="C20" s="209"/>
      <c r="D20" s="209">
        <v>-1350</v>
      </c>
      <c r="F20">
        <f>1515-1457</f>
        <v>58</v>
      </c>
    </row>
    <row r="21" spans="1:6" x14ac:dyDescent="0.3">
      <c r="A21" s="285" t="s">
        <v>1473</v>
      </c>
      <c r="B21" s="284"/>
      <c r="C21" s="209">
        <v>3</v>
      </c>
      <c r="D21" s="209">
        <v>3</v>
      </c>
    </row>
    <row r="22" spans="1:6" ht="15" thickBot="1" x14ac:dyDescent="0.35">
      <c r="A22" s="290" t="s">
        <v>1036</v>
      </c>
      <c r="B22" s="291"/>
      <c r="C22" s="292">
        <f>SUM(C3:C21)</f>
        <v>16.152771013078663</v>
      </c>
      <c r="D22" s="292">
        <f>SUM(D3:D21)</f>
        <v>36.605932259772317</v>
      </c>
    </row>
    <row r="23" spans="1:6" ht="15.6" thickTop="1" thickBot="1" x14ac:dyDescent="0.35">
      <c r="A23" s="293" t="s">
        <v>1037</v>
      </c>
      <c r="B23" s="294"/>
      <c r="C23" s="295"/>
      <c r="D23" s="295"/>
    </row>
    <row r="24" spans="1:6" ht="15.6" thickTop="1" thickBot="1" x14ac:dyDescent="0.35">
      <c r="A24" s="296" t="s">
        <v>1038</v>
      </c>
      <c r="B24" s="297"/>
      <c r="C24" s="298">
        <f>C22</f>
        <v>16.152771013078663</v>
      </c>
      <c r="D24" s="298">
        <f>D22</f>
        <v>36.605932259772317</v>
      </c>
    </row>
    <row r="25" spans="1:6" ht="15" thickBot="1" x14ac:dyDescent="0.35">
      <c r="A25" s="299"/>
      <c r="B25" s="300"/>
      <c r="C25" s="301"/>
      <c r="D25" s="301"/>
    </row>
    <row r="26" spans="1:6" ht="15" thickTop="1" x14ac:dyDescent="0.3">
      <c r="B26" s="288"/>
    </row>
    <row r="27" spans="1:6" ht="26.4" x14ac:dyDescent="0.3">
      <c r="A27" s="302" t="s">
        <v>1039</v>
      </c>
      <c r="B27" s="288"/>
      <c r="C27" s="303">
        <f>D28</f>
        <v>8.5159826992367016E-3</v>
      </c>
      <c r="D27" s="303">
        <v>3</v>
      </c>
    </row>
    <row r="28" spans="1:6" ht="26.4" x14ac:dyDescent="0.3">
      <c r="A28" s="302" t="s">
        <v>1040</v>
      </c>
      <c r="B28" s="288"/>
      <c r="C28" s="303">
        <f>C27+C24</f>
        <v>16.1612869957779</v>
      </c>
      <c r="D28" s="303">
        <v>8.5159826992367016E-3</v>
      </c>
    </row>
    <row r="30" spans="1:6" x14ac:dyDescent="0.3">
      <c r="A30" t="s">
        <v>1608</v>
      </c>
      <c r="C30" s="431">
        <f>SOFP!C19</f>
        <v>15.877320393704345</v>
      </c>
    </row>
    <row r="31" spans="1:6" x14ac:dyDescent="0.3">
      <c r="C31" s="77"/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957B-903D-49D5-AD07-10466C1C6E23}">
  <sheetPr codeName="List19"/>
  <dimension ref="A1:P51"/>
  <sheetViews>
    <sheetView showGridLines="0" workbookViewId="0">
      <selection activeCell="J15" sqref="J15:J16"/>
    </sheetView>
  </sheetViews>
  <sheetFormatPr defaultRowHeight="14.4" x14ac:dyDescent="0.3"/>
  <cols>
    <col min="1" max="1" width="10.44140625" bestFit="1" customWidth="1"/>
    <col min="2" max="2" width="12.33203125" bestFit="1" customWidth="1"/>
    <col min="3" max="3" width="10.6640625" customWidth="1"/>
    <col min="6" max="6" width="10.109375" bestFit="1" customWidth="1"/>
    <col min="9" max="9" width="15.6640625" customWidth="1"/>
    <col min="10" max="10" width="12.33203125" customWidth="1"/>
    <col min="11" max="11" width="10.109375" customWidth="1"/>
    <col min="12" max="12" width="7.109375" customWidth="1"/>
    <col min="13" max="13" width="6" customWidth="1"/>
    <col min="15" max="15" width="10" bestFit="1" customWidth="1"/>
    <col min="16" max="16" width="12.44140625" bestFit="1" customWidth="1"/>
  </cols>
  <sheetData>
    <row r="1" spans="1:16" s="82" customFormat="1" x14ac:dyDescent="0.3"/>
    <row r="2" spans="1:16" ht="25.2" x14ac:dyDescent="0.3">
      <c r="A2" s="522"/>
      <c r="B2" s="523" t="s">
        <v>939</v>
      </c>
      <c r="C2" s="519" t="s">
        <v>941</v>
      </c>
      <c r="D2" s="523" t="s">
        <v>45</v>
      </c>
      <c r="E2" s="523" t="s">
        <v>46</v>
      </c>
      <c r="F2" s="523" t="s">
        <v>47</v>
      </c>
      <c r="G2" s="72" t="s">
        <v>48</v>
      </c>
      <c r="I2" t="s">
        <v>942</v>
      </c>
      <c r="J2">
        <v>24.86</v>
      </c>
    </row>
    <row r="3" spans="1:16" ht="43.8" thickBot="1" x14ac:dyDescent="0.35">
      <c r="A3" s="522"/>
      <c r="B3" s="524"/>
      <c r="C3" s="520"/>
      <c r="D3" s="524"/>
      <c r="E3" s="524"/>
      <c r="F3" s="524"/>
      <c r="G3" s="83" t="s">
        <v>940</v>
      </c>
      <c r="I3" t="s">
        <v>54</v>
      </c>
      <c r="J3" s="67" t="s">
        <v>943</v>
      </c>
      <c r="K3" s="67" t="s">
        <v>55</v>
      </c>
    </row>
    <row r="4" spans="1:16" x14ac:dyDescent="0.3">
      <c r="A4" s="73" t="s">
        <v>4</v>
      </c>
      <c r="B4" s="508">
        <f>'473-SB'!D11/1000</f>
        <v>30000</v>
      </c>
      <c r="C4" s="508">
        <f>G4-B4</f>
        <v>-95.585007673882501</v>
      </c>
      <c r="D4" s="517">
        <v>46342</v>
      </c>
      <c r="E4" s="518">
        <f>'473-SB'!D6</f>
        <v>4.4999999999999998E-2</v>
      </c>
      <c r="F4" s="518">
        <f>'473-SB'!C41</f>
        <v>4.6992728114128107E-2</v>
      </c>
      <c r="G4" s="514">
        <f>I4</f>
        <v>29904.414992326117</v>
      </c>
      <c r="I4" s="508">
        <f>'473-SB'!H46/1000</f>
        <v>29904.414992326117</v>
      </c>
      <c r="J4" s="508"/>
      <c r="K4" s="508">
        <f>'473-SB'!A46/1000</f>
        <v>168.82890433562548</v>
      </c>
    </row>
    <row r="5" spans="1:16" x14ac:dyDescent="0.3">
      <c r="A5" s="74">
        <v>44516</v>
      </c>
      <c r="B5" s="506"/>
      <c r="C5" s="506"/>
      <c r="D5" s="510"/>
      <c r="E5" s="512"/>
      <c r="F5" s="512"/>
      <c r="G5" s="516"/>
      <c r="I5" s="506"/>
      <c r="J5" s="506"/>
      <c r="K5" s="506"/>
      <c r="O5" t="s">
        <v>51</v>
      </c>
      <c r="P5" s="77">
        <f>-'TB IFRS'!N20/1000</f>
        <v>30696.815307990488</v>
      </c>
    </row>
    <row r="6" spans="1:16" ht="15" thickBot="1" x14ac:dyDescent="0.35">
      <c r="A6" s="71" t="s">
        <v>43</v>
      </c>
      <c r="B6" s="75">
        <f>SUM(B4:B5)</f>
        <v>30000</v>
      </c>
      <c r="C6" s="75">
        <f>SUM(C4:C5)</f>
        <v>-95.585007673882501</v>
      </c>
      <c r="D6" s="76" t="s">
        <v>49</v>
      </c>
      <c r="E6" s="76" t="s">
        <v>49</v>
      </c>
      <c r="F6" s="76" t="s">
        <v>49</v>
      </c>
      <c r="G6" s="75">
        <f>SUM(G4:G5)</f>
        <v>29904.414992326117</v>
      </c>
      <c r="I6" s="77"/>
      <c r="K6" s="77"/>
    </row>
    <row r="7" spans="1:16" ht="15" thickTop="1" x14ac:dyDescent="0.3">
      <c r="K7" s="77"/>
    </row>
    <row r="8" spans="1:16" x14ac:dyDescent="0.3">
      <c r="G8" s="77"/>
    </row>
    <row r="9" spans="1:16" s="82" customFormat="1" x14ac:dyDescent="0.3"/>
    <row r="11" spans="1:16" x14ac:dyDescent="0.3">
      <c r="A11" s="522"/>
      <c r="B11" s="523"/>
      <c r="C11" s="71"/>
      <c r="D11" s="523"/>
      <c r="E11" s="523"/>
      <c r="F11" s="523"/>
      <c r="G11" s="72"/>
    </row>
    <row r="12" spans="1:16" ht="15" thickBot="1" x14ac:dyDescent="0.35">
      <c r="A12" s="522"/>
      <c r="B12" s="524"/>
      <c r="C12" s="71"/>
      <c r="D12" s="524"/>
      <c r="E12" s="524"/>
      <c r="F12" s="524"/>
      <c r="G12" s="83"/>
      <c r="J12" s="67"/>
      <c r="K12" s="67"/>
    </row>
    <row r="13" spans="1:16" x14ac:dyDescent="0.3">
      <c r="A13" s="73"/>
      <c r="B13" s="508"/>
      <c r="C13" s="508"/>
      <c r="D13" s="517"/>
      <c r="E13" s="521"/>
      <c r="F13" s="521"/>
      <c r="G13" s="514"/>
      <c r="I13" s="508"/>
      <c r="J13" s="508"/>
      <c r="K13" s="508"/>
      <c r="P13" s="77"/>
    </row>
    <row r="14" spans="1:16" x14ac:dyDescent="0.3">
      <c r="A14" s="74"/>
      <c r="B14" s="506"/>
      <c r="C14" s="506"/>
      <c r="D14" s="510"/>
      <c r="E14" s="512"/>
      <c r="F14" s="512"/>
      <c r="G14" s="516"/>
      <c r="I14" s="506"/>
      <c r="J14" s="506"/>
      <c r="K14" s="506"/>
      <c r="P14" s="77"/>
    </row>
    <row r="15" spans="1:16" x14ac:dyDescent="0.3">
      <c r="A15" s="73"/>
      <c r="B15" s="506"/>
      <c r="C15" s="506"/>
      <c r="D15" s="510"/>
      <c r="E15" s="512"/>
      <c r="F15" s="512"/>
      <c r="G15" s="514"/>
      <c r="I15" s="506"/>
      <c r="J15" s="506"/>
      <c r="K15" s="506"/>
      <c r="P15" s="77"/>
    </row>
    <row r="16" spans="1:16" x14ac:dyDescent="0.3">
      <c r="A16" s="74"/>
      <c r="B16" s="506"/>
      <c r="C16" s="506"/>
      <c r="D16" s="510"/>
      <c r="E16" s="512"/>
      <c r="F16" s="512"/>
      <c r="G16" s="516"/>
      <c r="I16" s="506"/>
      <c r="J16" s="506"/>
      <c r="K16" s="506"/>
    </row>
    <row r="17" spans="1:16" x14ac:dyDescent="0.3">
      <c r="A17" s="73"/>
      <c r="B17" s="506"/>
      <c r="C17" s="506"/>
      <c r="D17" s="510"/>
      <c r="E17" s="512"/>
      <c r="F17" s="512"/>
      <c r="G17" s="514"/>
      <c r="I17" s="506"/>
      <c r="J17" s="506"/>
      <c r="K17" s="506"/>
    </row>
    <row r="18" spans="1:16" x14ac:dyDescent="0.3">
      <c r="A18" s="73"/>
      <c r="B18" s="506"/>
      <c r="C18" s="506"/>
      <c r="D18" s="510"/>
      <c r="E18" s="512"/>
      <c r="F18" s="512"/>
      <c r="G18" s="516"/>
      <c r="I18" s="506"/>
      <c r="J18" s="506"/>
      <c r="K18" s="506"/>
    </row>
    <row r="19" spans="1:16" x14ac:dyDescent="0.3">
      <c r="A19" s="73"/>
      <c r="B19" s="506"/>
      <c r="C19" s="506"/>
      <c r="D19" s="510"/>
      <c r="E19" s="512"/>
      <c r="F19" s="512"/>
      <c r="G19" s="514"/>
      <c r="I19" s="506"/>
      <c r="J19" s="506"/>
      <c r="K19" s="506"/>
    </row>
    <row r="20" spans="1:16" ht="15" thickBot="1" x14ac:dyDescent="0.35">
      <c r="A20" s="74"/>
      <c r="B20" s="509"/>
      <c r="C20" s="507"/>
      <c r="D20" s="511"/>
      <c r="E20" s="513"/>
      <c r="F20" s="513"/>
      <c r="G20" s="515"/>
      <c r="I20" s="509"/>
      <c r="J20" s="507"/>
      <c r="K20" s="507"/>
    </row>
    <row r="21" spans="1:16" ht="15" thickBot="1" x14ac:dyDescent="0.35">
      <c r="A21" s="71"/>
      <c r="B21" s="75"/>
      <c r="C21" s="75"/>
      <c r="D21" s="76"/>
      <c r="E21" s="76"/>
      <c r="F21" s="76"/>
      <c r="G21" s="75"/>
      <c r="I21" s="77"/>
      <c r="K21" s="77"/>
    </row>
    <row r="22" spans="1:16" ht="15" thickTop="1" x14ac:dyDescent="0.3">
      <c r="K22" s="77"/>
    </row>
    <row r="23" spans="1:16" s="82" customFormat="1" x14ac:dyDescent="0.3">
      <c r="K23" s="84"/>
    </row>
    <row r="25" spans="1:16" x14ac:dyDescent="0.3">
      <c r="A25" s="522"/>
      <c r="B25" s="523"/>
      <c r="C25" s="71"/>
      <c r="D25" s="523"/>
      <c r="E25" s="523"/>
      <c r="F25" s="523"/>
      <c r="G25" s="72"/>
    </row>
    <row r="26" spans="1:16" ht="15" thickBot="1" x14ac:dyDescent="0.35">
      <c r="A26" s="522"/>
      <c r="B26" s="524"/>
      <c r="C26" s="71"/>
      <c r="D26" s="524"/>
      <c r="E26" s="524"/>
      <c r="F26" s="524"/>
      <c r="G26" s="83"/>
      <c r="J26" s="67"/>
      <c r="K26" s="67"/>
    </row>
    <row r="27" spans="1:16" x14ac:dyDescent="0.3">
      <c r="A27" s="73"/>
      <c r="B27" s="508"/>
      <c r="C27" s="508"/>
      <c r="D27" s="517"/>
      <c r="E27" s="521"/>
      <c r="F27" s="521"/>
      <c r="G27" s="514"/>
      <c r="I27" s="508"/>
      <c r="J27" s="508"/>
      <c r="K27" s="508"/>
      <c r="P27" s="77"/>
    </row>
    <row r="28" spans="1:16" x14ac:dyDescent="0.3">
      <c r="A28" s="74"/>
      <c r="B28" s="506"/>
      <c r="C28" s="506"/>
      <c r="D28" s="510"/>
      <c r="E28" s="512"/>
      <c r="F28" s="512"/>
      <c r="G28" s="516"/>
      <c r="I28" s="506"/>
      <c r="J28" s="506"/>
      <c r="K28" s="506"/>
      <c r="P28" s="77"/>
    </row>
    <row r="29" spans="1:16" x14ac:dyDescent="0.3">
      <c r="A29" s="73"/>
      <c r="B29" s="506"/>
      <c r="C29" s="506"/>
      <c r="D29" s="510"/>
      <c r="E29" s="512"/>
      <c r="F29" s="512"/>
      <c r="G29" s="514"/>
      <c r="I29" s="506"/>
      <c r="J29" s="506"/>
      <c r="K29" s="506"/>
      <c r="P29" s="77"/>
    </row>
    <row r="30" spans="1:16" x14ac:dyDescent="0.3">
      <c r="A30" s="74"/>
      <c r="B30" s="506"/>
      <c r="C30" s="506"/>
      <c r="D30" s="510"/>
      <c r="E30" s="512"/>
      <c r="F30" s="512"/>
      <c r="G30" s="516"/>
      <c r="I30" s="506"/>
      <c r="J30" s="506"/>
      <c r="K30" s="506"/>
    </row>
    <row r="31" spans="1:16" x14ac:dyDescent="0.3">
      <c r="A31" s="73"/>
      <c r="B31" s="506"/>
      <c r="C31" s="506"/>
      <c r="D31" s="510"/>
      <c r="E31" s="512"/>
      <c r="F31" s="512"/>
      <c r="G31" s="514"/>
      <c r="I31" s="506"/>
      <c r="J31" s="506"/>
      <c r="K31" s="506"/>
    </row>
    <row r="32" spans="1:16" x14ac:dyDescent="0.3">
      <c r="A32" s="73"/>
      <c r="B32" s="506"/>
      <c r="C32" s="506"/>
      <c r="D32" s="510"/>
      <c r="E32" s="512"/>
      <c r="F32" s="512"/>
      <c r="G32" s="516"/>
      <c r="I32" s="506"/>
      <c r="J32" s="506"/>
      <c r="K32" s="506"/>
    </row>
    <row r="33" spans="1:13" x14ac:dyDescent="0.3">
      <c r="A33" s="73"/>
      <c r="B33" s="506"/>
      <c r="C33" s="506"/>
      <c r="D33" s="510"/>
      <c r="E33" s="512"/>
      <c r="F33" s="512"/>
      <c r="G33" s="514"/>
      <c r="I33" s="506"/>
      <c r="J33" s="506"/>
      <c r="K33" s="506"/>
    </row>
    <row r="34" spans="1:13" ht="15" thickBot="1" x14ac:dyDescent="0.35">
      <c r="A34" s="74"/>
      <c r="B34" s="509"/>
      <c r="C34" s="507"/>
      <c r="D34" s="511"/>
      <c r="E34" s="513"/>
      <c r="F34" s="513"/>
      <c r="G34" s="515"/>
      <c r="I34" s="509"/>
      <c r="J34" s="507"/>
      <c r="K34" s="507"/>
    </row>
    <row r="35" spans="1:13" ht="15" thickBot="1" x14ac:dyDescent="0.35">
      <c r="A35" s="71"/>
      <c r="B35" s="75"/>
      <c r="C35" s="75"/>
      <c r="D35" s="76"/>
      <c r="E35" s="76"/>
      <c r="F35" s="76"/>
      <c r="G35" s="75"/>
      <c r="I35" s="77"/>
      <c r="K35" s="77"/>
    </row>
    <row r="36" spans="1:13" ht="15" thickTop="1" x14ac:dyDescent="0.3">
      <c r="K36" s="77"/>
    </row>
    <row r="37" spans="1:13" s="82" customFormat="1" x14ac:dyDescent="0.3">
      <c r="I37" s="84"/>
    </row>
    <row r="38" spans="1:13" x14ac:dyDescent="0.3">
      <c r="G38" s="77"/>
      <c r="J38" s="77"/>
      <c r="K38" s="77"/>
      <c r="M38" s="70"/>
    </row>
    <row r="39" spans="1:13" x14ac:dyDescent="0.3">
      <c r="M39" s="70"/>
    </row>
    <row r="40" spans="1:13" x14ac:dyDescent="0.3">
      <c r="A40" s="86"/>
      <c r="B40" s="87"/>
      <c r="C40" s="88"/>
      <c r="D40" s="71"/>
      <c r="E40" s="71"/>
      <c r="F40" s="71"/>
      <c r="G40" s="71"/>
      <c r="M40" s="70"/>
    </row>
    <row r="41" spans="1:13" x14ac:dyDescent="0.3">
      <c r="A41" s="86"/>
      <c r="B41" s="87"/>
      <c r="C41" s="88"/>
      <c r="D41" s="71"/>
      <c r="E41" s="71"/>
      <c r="F41" s="71"/>
      <c r="G41" s="71"/>
    </row>
    <row r="42" spans="1:13" x14ac:dyDescent="0.3">
      <c r="A42" s="79"/>
      <c r="B42" s="87"/>
      <c r="C42" s="88"/>
      <c r="D42" s="85"/>
      <c r="E42" s="74"/>
      <c r="F42" s="73"/>
      <c r="G42" s="73"/>
    </row>
    <row r="43" spans="1:13" x14ac:dyDescent="0.3">
      <c r="A43" s="79"/>
      <c r="B43" s="85"/>
      <c r="C43" s="85"/>
      <c r="D43" s="85"/>
      <c r="E43" s="74"/>
      <c r="F43" s="73"/>
      <c r="G43" s="73"/>
    </row>
    <row r="44" spans="1:13" x14ac:dyDescent="0.3">
      <c r="A44" s="78"/>
      <c r="B44" s="506"/>
      <c r="C44" s="506"/>
      <c r="D44" s="512"/>
      <c r="E44" s="510"/>
      <c r="F44" s="512"/>
      <c r="G44" s="512"/>
      <c r="M44" s="65"/>
    </row>
    <row r="45" spans="1:13" x14ac:dyDescent="0.3">
      <c r="A45" s="79"/>
      <c r="B45" s="506"/>
      <c r="C45" s="506"/>
      <c r="D45" s="512"/>
      <c r="E45" s="510"/>
      <c r="F45" s="512"/>
      <c r="G45" s="512"/>
      <c r="M45" s="70"/>
    </row>
    <row r="46" spans="1:13" x14ac:dyDescent="0.3">
      <c r="A46" s="78"/>
      <c r="B46" s="506"/>
      <c r="C46" s="506"/>
      <c r="D46" s="512"/>
      <c r="E46" s="510"/>
      <c r="F46" s="512"/>
      <c r="G46" s="512"/>
      <c r="M46" s="70"/>
    </row>
    <row r="47" spans="1:13" x14ac:dyDescent="0.3">
      <c r="A47" s="79"/>
      <c r="B47" s="506"/>
      <c r="C47" s="506"/>
      <c r="D47" s="512"/>
      <c r="E47" s="510"/>
      <c r="F47" s="512"/>
      <c r="G47" s="512"/>
    </row>
    <row r="48" spans="1:13" x14ac:dyDescent="0.3">
      <c r="A48" s="80"/>
      <c r="B48" s="81"/>
      <c r="C48" s="81"/>
      <c r="D48" s="81"/>
      <c r="E48" s="72"/>
      <c r="F48" s="72"/>
      <c r="G48" s="72"/>
      <c r="M48" s="70"/>
    </row>
    <row r="50" spans="13:13" x14ac:dyDescent="0.3">
      <c r="M50" s="70">
        <v>-26575996.010000002</v>
      </c>
    </row>
    <row r="51" spans="13:13" x14ac:dyDescent="0.3">
      <c r="M51" s="70"/>
    </row>
  </sheetData>
  <mergeCells count="109">
    <mergeCell ref="K33:K34"/>
    <mergeCell ref="B33:B34"/>
    <mergeCell ref="C33:C34"/>
    <mergeCell ref="D33:D34"/>
    <mergeCell ref="E33:E34"/>
    <mergeCell ref="F33:F34"/>
    <mergeCell ref="G33:G34"/>
    <mergeCell ref="I33:I34"/>
    <mergeCell ref="J33:J34"/>
    <mergeCell ref="B31:B32"/>
    <mergeCell ref="C31:C32"/>
    <mergeCell ref="D31:D32"/>
    <mergeCell ref="E31:E32"/>
    <mergeCell ref="F31:F32"/>
    <mergeCell ref="G31:G32"/>
    <mergeCell ref="I31:I32"/>
    <mergeCell ref="J31:J32"/>
    <mergeCell ref="K31:K32"/>
    <mergeCell ref="B29:B30"/>
    <mergeCell ref="C29:C30"/>
    <mergeCell ref="D29:D30"/>
    <mergeCell ref="E29:E30"/>
    <mergeCell ref="F29:F30"/>
    <mergeCell ref="G29:G30"/>
    <mergeCell ref="I29:I30"/>
    <mergeCell ref="J29:J30"/>
    <mergeCell ref="K29:K30"/>
    <mergeCell ref="B27:B28"/>
    <mergeCell ref="C27:C28"/>
    <mergeCell ref="D27:D28"/>
    <mergeCell ref="E27:E28"/>
    <mergeCell ref="F27:F28"/>
    <mergeCell ref="G27:G28"/>
    <mergeCell ref="I27:I28"/>
    <mergeCell ref="J27:J28"/>
    <mergeCell ref="K27:K28"/>
    <mergeCell ref="G46:G47"/>
    <mergeCell ref="B44:B45"/>
    <mergeCell ref="C44:C45"/>
    <mergeCell ref="D44:D45"/>
    <mergeCell ref="E44:E45"/>
    <mergeCell ref="F44:F45"/>
    <mergeCell ref="G44:G45"/>
    <mergeCell ref="B46:B47"/>
    <mergeCell ref="C46:C47"/>
    <mergeCell ref="D46:D47"/>
    <mergeCell ref="E46:E47"/>
    <mergeCell ref="F46:F47"/>
    <mergeCell ref="A2:A3"/>
    <mergeCell ref="B2:B3"/>
    <mergeCell ref="D2:D3"/>
    <mergeCell ref="E2:E3"/>
    <mergeCell ref="F2:F3"/>
    <mergeCell ref="G4:G5"/>
    <mergeCell ref="A25:A26"/>
    <mergeCell ref="B25:B26"/>
    <mergeCell ref="D25:D26"/>
    <mergeCell ref="E25:E26"/>
    <mergeCell ref="F25:F26"/>
    <mergeCell ref="A11:A12"/>
    <mergeCell ref="B11:B12"/>
    <mergeCell ref="D11:D12"/>
    <mergeCell ref="E11:E12"/>
    <mergeCell ref="F11:F12"/>
    <mergeCell ref="B13:B14"/>
    <mergeCell ref="C13:C14"/>
    <mergeCell ref="I4:I5"/>
    <mergeCell ref="B4:B5"/>
    <mergeCell ref="C4:C5"/>
    <mergeCell ref="D4:D5"/>
    <mergeCell ref="E4:E5"/>
    <mergeCell ref="F4:F5"/>
    <mergeCell ref="C2:C3"/>
    <mergeCell ref="I13:I14"/>
    <mergeCell ref="B15:B16"/>
    <mergeCell ref="C15:C16"/>
    <mergeCell ref="D15:D16"/>
    <mergeCell ref="E15:E16"/>
    <mergeCell ref="F15:F16"/>
    <mergeCell ref="G15:G16"/>
    <mergeCell ref="I15:I16"/>
    <mergeCell ref="D13:D14"/>
    <mergeCell ref="E13:E14"/>
    <mergeCell ref="F13:F14"/>
    <mergeCell ref="G13:G14"/>
    <mergeCell ref="I17:I18"/>
    <mergeCell ref="B19:B20"/>
    <mergeCell ref="C19:C20"/>
    <mergeCell ref="D19:D20"/>
    <mergeCell ref="E19:E20"/>
    <mergeCell ref="F19:F20"/>
    <mergeCell ref="G19:G20"/>
    <mergeCell ref="I19:I20"/>
    <mergeCell ref="B17:B18"/>
    <mergeCell ref="C17:C18"/>
    <mergeCell ref="D17:D18"/>
    <mergeCell ref="E17:E18"/>
    <mergeCell ref="F17:F18"/>
    <mergeCell ref="G17:G18"/>
    <mergeCell ref="J19:J20"/>
    <mergeCell ref="K19:K20"/>
    <mergeCell ref="J13:J14"/>
    <mergeCell ref="K13:K14"/>
    <mergeCell ref="J15:J16"/>
    <mergeCell ref="K15:K16"/>
    <mergeCell ref="J17:J18"/>
    <mergeCell ref="K17:K18"/>
    <mergeCell ref="J4:J5"/>
    <mergeCell ref="K4:K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7152-70A4-456F-80A2-3617E5507B5C}">
  <sheetPr codeName="List3" filterMode="1">
    <tabColor rgb="FFFF0000"/>
  </sheetPr>
  <dimension ref="A1:AB335"/>
  <sheetViews>
    <sheetView workbookViewId="0">
      <pane xSplit="3" ySplit="2" topLeftCell="D123" activePane="bottomRight" state="frozen"/>
      <selection pane="topRight" activeCell="D1" sqref="D1"/>
      <selection pane="bottomLeft" activeCell="A3" sqref="A3"/>
      <selection pane="bottomRight" activeCell="G123" sqref="G123"/>
    </sheetView>
  </sheetViews>
  <sheetFormatPr defaultRowHeight="14.4" x14ac:dyDescent="0.3"/>
  <cols>
    <col min="1" max="1" width="16.33203125" style="389" bestFit="1" customWidth="1"/>
    <col min="2" max="2" width="21.6640625" style="107" bestFit="1" customWidth="1"/>
    <col min="3" max="3" width="11.88671875" style="122" bestFit="1" customWidth="1"/>
    <col min="4" max="4" width="9.5546875" bestFit="1" customWidth="1"/>
    <col min="6" max="6" width="11.88671875" bestFit="1" customWidth="1"/>
    <col min="7" max="7" width="10.6640625" bestFit="1" customWidth="1"/>
    <col min="13" max="13" width="20.44140625" customWidth="1"/>
    <col min="17" max="17" width="11.109375" bestFit="1" customWidth="1"/>
  </cols>
  <sheetData>
    <row r="1" spans="1:28" ht="21" x14ac:dyDescent="0.3">
      <c r="D1" s="410" t="s">
        <v>838</v>
      </c>
      <c r="E1" s="403"/>
      <c r="F1" s="403"/>
      <c r="G1" s="403"/>
      <c r="H1" s="403"/>
      <c r="I1" s="403"/>
      <c r="J1" s="403"/>
      <c r="K1" s="403"/>
      <c r="L1" s="457" t="s">
        <v>786</v>
      </c>
      <c r="M1" s="403"/>
      <c r="N1" s="403"/>
      <c r="O1" s="403"/>
      <c r="P1" s="403"/>
      <c r="Q1" s="403"/>
      <c r="R1" s="403"/>
      <c r="S1" s="403"/>
      <c r="T1" s="403"/>
      <c r="U1" s="336" t="s">
        <v>1612</v>
      </c>
      <c r="V1" s="336" t="s">
        <v>787</v>
      </c>
      <c r="W1" s="403"/>
      <c r="X1" s="336" t="s">
        <v>1787</v>
      </c>
      <c r="Y1" s="403"/>
      <c r="Z1" s="403"/>
      <c r="AA1" s="403"/>
      <c r="AB1" s="403"/>
    </row>
    <row r="2" spans="1:28" x14ac:dyDescent="0.3">
      <c r="A2" s="390" t="s">
        <v>886</v>
      </c>
      <c r="B2" s="123" t="s">
        <v>887</v>
      </c>
      <c r="C2" s="124" t="s">
        <v>888</v>
      </c>
      <c r="D2" s="421" t="s">
        <v>522</v>
      </c>
      <c r="E2" s="404" t="s">
        <v>839</v>
      </c>
      <c r="F2" s="421" t="s">
        <v>528</v>
      </c>
      <c r="G2" s="421" t="s">
        <v>840</v>
      </c>
      <c r="H2" s="404" t="s">
        <v>14</v>
      </c>
      <c r="I2" s="404" t="s">
        <v>841</v>
      </c>
      <c r="J2" s="419" t="s">
        <v>58</v>
      </c>
      <c r="K2" s="420" t="s">
        <v>524</v>
      </c>
      <c r="L2" s="420" t="s">
        <v>523</v>
      </c>
      <c r="M2" s="420" t="s">
        <v>526</v>
      </c>
      <c r="N2" s="420" t="s">
        <v>525</v>
      </c>
      <c r="O2" s="420" t="s">
        <v>842</v>
      </c>
      <c r="P2" s="420" t="s">
        <v>843</v>
      </c>
      <c r="Q2" s="420" t="s">
        <v>844</v>
      </c>
      <c r="R2" s="420" t="s">
        <v>845</v>
      </c>
      <c r="S2" s="405" t="s">
        <v>14</v>
      </c>
      <c r="T2" s="420" t="s">
        <v>42</v>
      </c>
      <c r="U2" s="420" t="s">
        <v>527</v>
      </c>
      <c r="V2" s="420" t="s">
        <v>846</v>
      </c>
      <c r="W2" s="420" t="s">
        <v>847</v>
      </c>
      <c r="X2" s="420" t="s">
        <v>848</v>
      </c>
      <c r="Y2" s="420" t="s">
        <v>849</v>
      </c>
      <c r="Z2" s="420" t="s">
        <v>850</v>
      </c>
      <c r="AA2" s="420" t="s">
        <v>851</v>
      </c>
      <c r="AB2" s="420" t="s">
        <v>852</v>
      </c>
    </row>
    <row r="3" spans="1:28" hidden="1" x14ac:dyDescent="0.3">
      <c r="A3" s="391">
        <f>SUMIF('kurzy ČNB'!A:A,'jb IFRS'!J3,'kurzy ČNB'!B:B)</f>
        <v>0</v>
      </c>
      <c r="B3" s="125" t="e">
        <f t="shared" ref="B3" si="0">F3/A3</f>
        <v>#DIV/0!</v>
      </c>
      <c r="C3" s="126" t="e">
        <f t="shared" ref="C3" si="1">IF(H3="EUR",G3,B3)</f>
        <v>#DIV/0!</v>
      </c>
      <c r="D3" s="407"/>
      <c r="E3" s="404"/>
      <c r="F3" s="406"/>
      <c r="G3" s="406"/>
      <c r="H3" s="404"/>
      <c r="I3" s="404"/>
      <c r="J3" s="336"/>
      <c r="K3" s="405"/>
      <c r="L3" s="336"/>
      <c r="M3" s="336"/>
      <c r="N3" s="403"/>
      <c r="O3" s="336"/>
      <c r="P3" s="336"/>
      <c r="Q3" s="408"/>
      <c r="R3" s="408"/>
      <c r="S3" s="405"/>
      <c r="T3" s="405"/>
      <c r="U3" s="336"/>
      <c r="V3" s="403"/>
      <c r="W3" s="403"/>
      <c r="X3" s="403"/>
      <c r="Y3" s="403"/>
      <c r="Z3" s="403"/>
      <c r="AA3" s="403"/>
      <c r="AB3" s="408"/>
    </row>
    <row r="4" spans="1:28" hidden="1" x14ac:dyDescent="0.3">
      <c r="A4" s="391">
        <f>SUMIF('kurzy ČNB'!A:A,'jb IFRS'!J4,'kurzy ČNB'!B:B)</f>
        <v>24.725000000000001</v>
      </c>
      <c r="B4" s="125">
        <f t="shared" ref="B4:B7" si="2">F4/A4</f>
        <v>-4.2499494438827092</v>
      </c>
      <c r="C4" s="126">
        <f t="shared" ref="C4:C7" si="3">IF(H4="EUR",G4,B4)</f>
        <v>-4.25</v>
      </c>
      <c r="D4" s="407" t="s">
        <v>834</v>
      </c>
      <c r="E4" s="404" t="s">
        <v>853</v>
      </c>
      <c r="F4" s="406">
        <v>-105.08</v>
      </c>
      <c r="G4" s="406">
        <v>-4.25</v>
      </c>
      <c r="H4" s="404" t="s">
        <v>15</v>
      </c>
      <c r="I4" s="404" t="s">
        <v>1045</v>
      </c>
      <c r="J4" s="336" t="s">
        <v>1751</v>
      </c>
      <c r="K4" s="405" t="s">
        <v>865</v>
      </c>
      <c r="L4" s="336" t="s">
        <v>1753</v>
      </c>
      <c r="M4" s="336" t="s">
        <v>1754</v>
      </c>
      <c r="N4" s="403"/>
      <c r="O4" s="336" t="s">
        <v>800</v>
      </c>
      <c r="P4" s="336" t="s">
        <v>834</v>
      </c>
      <c r="Q4" s="408">
        <v>105.08</v>
      </c>
      <c r="R4" s="408">
        <v>4.25</v>
      </c>
      <c r="S4" s="405" t="s">
        <v>15</v>
      </c>
      <c r="T4" s="405" t="s">
        <v>1142</v>
      </c>
      <c r="U4" s="336" t="s">
        <v>1755</v>
      </c>
      <c r="V4" s="403"/>
      <c r="W4" s="403"/>
      <c r="X4" s="403"/>
      <c r="Y4" s="403"/>
      <c r="Z4" s="403"/>
      <c r="AA4" s="403"/>
      <c r="AB4" s="408">
        <v>105.08</v>
      </c>
    </row>
    <row r="5" spans="1:28" hidden="1" x14ac:dyDescent="0.3">
      <c r="A5" s="391">
        <f>SUMIF('kurzy ČNB'!A:A,'jb IFRS'!J5,'kurzy ČNB'!B:B)</f>
        <v>24.725000000000001</v>
      </c>
      <c r="B5" s="125">
        <f t="shared" si="2"/>
        <v>4.2499494438827092</v>
      </c>
      <c r="C5" s="126">
        <f t="shared" si="3"/>
        <v>4.25</v>
      </c>
      <c r="D5" s="407" t="s">
        <v>800</v>
      </c>
      <c r="E5" s="404" t="s">
        <v>855</v>
      </c>
      <c r="F5" s="406">
        <v>105.08</v>
      </c>
      <c r="G5" s="406">
        <v>4.25</v>
      </c>
      <c r="H5" s="404" t="s">
        <v>15</v>
      </c>
      <c r="I5" s="404" t="s">
        <v>1045</v>
      </c>
      <c r="J5" s="336" t="s">
        <v>1751</v>
      </c>
      <c r="K5" s="405" t="s">
        <v>865</v>
      </c>
      <c r="L5" s="336" t="s">
        <v>1753</v>
      </c>
      <c r="M5" s="336" t="s">
        <v>1754</v>
      </c>
      <c r="N5" s="403"/>
      <c r="O5" s="336" t="s">
        <v>800</v>
      </c>
      <c r="P5" s="336" t="s">
        <v>834</v>
      </c>
      <c r="Q5" s="408">
        <v>105.08</v>
      </c>
      <c r="R5" s="408">
        <v>4.25</v>
      </c>
      <c r="S5" s="405" t="s">
        <v>15</v>
      </c>
      <c r="T5" s="405" t="s">
        <v>1142</v>
      </c>
      <c r="U5" s="336" t="s">
        <v>1755</v>
      </c>
      <c r="V5" s="403"/>
      <c r="W5" s="403"/>
      <c r="X5" s="403"/>
      <c r="Y5" s="403"/>
      <c r="Z5" s="403"/>
      <c r="AA5" s="408">
        <v>105.08</v>
      </c>
      <c r="AB5" s="403"/>
    </row>
    <row r="6" spans="1:28" hidden="1" x14ac:dyDescent="0.3">
      <c r="A6" s="391">
        <f>SUMIF('kurzy ČNB'!A:A,'jb IFRS'!J6,'kurzy ČNB'!B:B)</f>
        <v>24.725000000000001</v>
      </c>
      <c r="B6" s="125">
        <f t="shared" si="2"/>
        <v>-8.5799797775530831</v>
      </c>
      <c r="C6" s="126">
        <f t="shared" si="3"/>
        <v>-8.58</v>
      </c>
      <c r="D6" s="407" t="s">
        <v>834</v>
      </c>
      <c r="E6" s="404" t="s">
        <v>853</v>
      </c>
      <c r="F6" s="406">
        <v>-212.14</v>
      </c>
      <c r="G6" s="406">
        <v>-8.58</v>
      </c>
      <c r="H6" s="404" t="s">
        <v>15</v>
      </c>
      <c r="I6" s="404" t="s">
        <v>1045</v>
      </c>
      <c r="J6" s="336" t="s">
        <v>1751</v>
      </c>
      <c r="K6" s="405" t="s">
        <v>866</v>
      </c>
      <c r="L6" s="336" t="s">
        <v>1540</v>
      </c>
      <c r="M6" s="336" t="s">
        <v>1752</v>
      </c>
      <c r="N6" s="403"/>
      <c r="O6" s="336" t="s">
        <v>800</v>
      </c>
      <c r="P6" s="336" t="s">
        <v>834</v>
      </c>
      <c r="Q6" s="408">
        <v>212.14</v>
      </c>
      <c r="R6" s="408">
        <v>8.58</v>
      </c>
      <c r="S6" s="405" t="s">
        <v>15</v>
      </c>
      <c r="T6" s="405" t="s">
        <v>1142</v>
      </c>
      <c r="U6" s="403"/>
      <c r="V6" s="403"/>
      <c r="W6" s="403"/>
      <c r="X6" s="403"/>
      <c r="Y6" s="403"/>
      <c r="Z6" s="403"/>
      <c r="AA6" s="403"/>
      <c r="AB6" s="408">
        <v>212.14</v>
      </c>
    </row>
    <row r="7" spans="1:28" hidden="1" x14ac:dyDescent="0.3">
      <c r="A7" s="391">
        <f>SUMIF('kurzy ČNB'!A:A,'jb IFRS'!J7,'kurzy ČNB'!B:B)</f>
        <v>24.725000000000001</v>
      </c>
      <c r="B7" s="125">
        <f t="shared" si="2"/>
        <v>8.5799797775530831</v>
      </c>
      <c r="C7" s="126">
        <f t="shared" si="3"/>
        <v>8.58</v>
      </c>
      <c r="D7" s="407" t="s">
        <v>800</v>
      </c>
      <c r="E7" s="404" t="s">
        <v>855</v>
      </c>
      <c r="F7" s="406">
        <v>212.14</v>
      </c>
      <c r="G7" s="406">
        <v>8.58</v>
      </c>
      <c r="H7" s="404" t="s">
        <v>15</v>
      </c>
      <c r="I7" s="404" t="s">
        <v>1045</v>
      </c>
      <c r="J7" s="336" t="s">
        <v>1751</v>
      </c>
      <c r="K7" s="405" t="s">
        <v>866</v>
      </c>
      <c r="L7" s="336" t="s">
        <v>1540</v>
      </c>
      <c r="M7" s="336" t="s">
        <v>1752</v>
      </c>
      <c r="N7" s="403"/>
      <c r="O7" s="336" t="s">
        <v>800</v>
      </c>
      <c r="P7" s="336" t="s">
        <v>834</v>
      </c>
      <c r="Q7" s="408">
        <v>212.14</v>
      </c>
      <c r="R7" s="408">
        <v>8.58</v>
      </c>
      <c r="S7" s="405" t="s">
        <v>15</v>
      </c>
      <c r="T7" s="405" t="s">
        <v>1142</v>
      </c>
      <c r="U7" s="403"/>
      <c r="V7" s="403"/>
      <c r="W7" s="403"/>
      <c r="X7" s="403"/>
      <c r="Y7" s="403"/>
      <c r="Z7" s="403"/>
      <c r="AA7" s="408">
        <v>212.14</v>
      </c>
      <c r="AB7" s="403"/>
    </row>
    <row r="8" spans="1:28" hidden="1" x14ac:dyDescent="0.3">
      <c r="A8" s="391">
        <f>SUMIF('kurzy ČNB'!A:A,'jb IFRS'!J8,'kurzy ČNB'!B:B)</f>
        <v>24.675000000000001</v>
      </c>
      <c r="B8" s="125">
        <f t="shared" ref="B8:B71" si="4">F8/A8</f>
        <v>-444.37973657548122</v>
      </c>
      <c r="C8" s="126">
        <f t="shared" ref="C8:C71" si="5">IF(H8="EUR",G8,B8)</f>
        <v>-458.72999999999996</v>
      </c>
      <c r="D8" s="407" t="s">
        <v>800</v>
      </c>
      <c r="E8" s="404" t="s">
        <v>853</v>
      </c>
      <c r="F8" s="406">
        <v>-10965.07</v>
      </c>
      <c r="G8" s="406">
        <v>-458.72999999999996</v>
      </c>
      <c r="H8" s="404" t="s">
        <v>15</v>
      </c>
      <c r="I8" s="404" t="s">
        <v>1045</v>
      </c>
      <c r="J8" s="336" t="s">
        <v>1614</v>
      </c>
      <c r="K8" s="405" t="s">
        <v>866</v>
      </c>
      <c r="L8" s="336" t="s">
        <v>867</v>
      </c>
      <c r="M8" s="336" t="s">
        <v>1615</v>
      </c>
      <c r="N8" s="403"/>
      <c r="O8" s="336" t="s">
        <v>1497</v>
      </c>
      <c r="P8" s="336" t="s">
        <v>800</v>
      </c>
      <c r="Q8" s="408">
        <v>10965.07</v>
      </c>
      <c r="R8" s="408">
        <v>458.72999999999996</v>
      </c>
      <c r="S8" s="405" t="s">
        <v>15</v>
      </c>
      <c r="T8" s="405" t="s">
        <v>1616</v>
      </c>
      <c r="U8" s="336" t="s">
        <v>1571</v>
      </c>
      <c r="V8" s="403"/>
      <c r="W8" s="403"/>
      <c r="X8" s="403"/>
      <c r="Y8" s="403"/>
      <c r="Z8" s="403"/>
      <c r="AA8" s="403"/>
      <c r="AB8" s="408">
        <v>10965.07</v>
      </c>
    </row>
    <row r="9" spans="1:28" hidden="1" x14ac:dyDescent="0.3">
      <c r="A9" s="391">
        <f>SUMIF('kurzy ČNB'!A:A,'jb IFRS'!J9,'kurzy ČNB'!B:B)</f>
        <v>24.675000000000001</v>
      </c>
      <c r="B9" s="125">
        <f t="shared" si="4"/>
        <v>444.37973657548122</v>
      </c>
      <c r="C9" s="126">
        <f t="shared" si="5"/>
        <v>458.72999999999996</v>
      </c>
      <c r="D9" s="407" t="s">
        <v>1497</v>
      </c>
      <c r="E9" s="404" t="s">
        <v>855</v>
      </c>
      <c r="F9" s="406">
        <v>10965.07</v>
      </c>
      <c r="G9" s="406">
        <v>458.72999999999996</v>
      </c>
      <c r="H9" s="404" t="s">
        <v>15</v>
      </c>
      <c r="I9" s="404" t="s">
        <v>1045</v>
      </c>
      <c r="J9" s="336" t="s">
        <v>1614</v>
      </c>
      <c r="K9" s="405" t="s">
        <v>866</v>
      </c>
      <c r="L9" s="336" t="s">
        <v>867</v>
      </c>
      <c r="M9" s="336" t="s">
        <v>1615</v>
      </c>
      <c r="N9" s="403"/>
      <c r="O9" s="336" t="s">
        <v>1497</v>
      </c>
      <c r="P9" s="336" t="s">
        <v>800</v>
      </c>
      <c r="Q9" s="408">
        <v>10965.07</v>
      </c>
      <c r="R9" s="408">
        <v>458.72999999999996</v>
      </c>
      <c r="S9" s="405" t="s">
        <v>15</v>
      </c>
      <c r="T9" s="405" t="s">
        <v>1616</v>
      </c>
      <c r="U9" s="336" t="s">
        <v>1571</v>
      </c>
      <c r="V9" s="403"/>
      <c r="W9" s="403"/>
      <c r="X9" s="403"/>
      <c r="Y9" s="403"/>
      <c r="Z9" s="403"/>
      <c r="AA9" s="408">
        <v>10965.07</v>
      </c>
      <c r="AB9" s="403"/>
    </row>
    <row r="10" spans="1:28" hidden="1" x14ac:dyDescent="0.3">
      <c r="A10" s="391">
        <f>SUMIF('kurzy ČNB'!A:A,'jb IFRS'!J10,'kurzy ČNB'!B:B)</f>
        <v>24.6</v>
      </c>
      <c r="B10" s="125">
        <f t="shared" si="4"/>
        <v>-971.57479674796753</v>
      </c>
      <c r="C10" s="126">
        <f t="shared" si="5"/>
        <v>-981.55</v>
      </c>
      <c r="D10" s="407" t="s">
        <v>802</v>
      </c>
      <c r="E10" s="404" t="s">
        <v>853</v>
      </c>
      <c r="F10" s="406">
        <v>-23900.74</v>
      </c>
      <c r="G10" s="406">
        <v>-981.55</v>
      </c>
      <c r="H10" s="404" t="s">
        <v>15</v>
      </c>
      <c r="I10" s="404" t="s">
        <v>1045</v>
      </c>
      <c r="J10" s="336" t="s">
        <v>1617</v>
      </c>
      <c r="K10" s="405" t="s">
        <v>856</v>
      </c>
      <c r="L10" s="336" t="s">
        <v>1618</v>
      </c>
      <c r="M10" s="336" t="s">
        <v>1120</v>
      </c>
      <c r="N10" s="336" t="s">
        <v>1483</v>
      </c>
      <c r="O10" s="336" t="s">
        <v>826</v>
      </c>
      <c r="P10" s="336" t="s">
        <v>802</v>
      </c>
      <c r="Q10" s="408">
        <v>23900.74</v>
      </c>
      <c r="R10" s="408">
        <v>981.55</v>
      </c>
      <c r="S10" s="405" t="s">
        <v>15</v>
      </c>
      <c r="T10" s="405" t="s">
        <v>1058</v>
      </c>
      <c r="U10" s="336" t="s">
        <v>1619</v>
      </c>
      <c r="V10" s="403"/>
      <c r="W10" s="403"/>
      <c r="X10" s="403"/>
      <c r="Y10" s="403"/>
      <c r="Z10" s="403"/>
      <c r="AA10" s="403"/>
      <c r="AB10" s="408">
        <v>23900.74</v>
      </c>
    </row>
    <row r="11" spans="1:28" hidden="1" x14ac:dyDescent="0.3">
      <c r="A11" s="391">
        <f>SUMIF('kurzy ČNB'!A:A,'jb IFRS'!J11,'kurzy ČNB'!B:B)</f>
        <v>24.6</v>
      </c>
      <c r="B11" s="125">
        <f t="shared" si="4"/>
        <v>971.57479674796753</v>
      </c>
      <c r="C11" s="126">
        <f t="shared" si="5"/>
        <v>981.55</v>
      </c>
      <c r="D11" s="407" t="s">
        <v>826</v>
      </c>
      <c r="E11" s="404" t="s">
        <v>855</v>
      </c>
      <c r="F11" s="406">
        <v>23900.74</v>
      </c>
      <c r="G11" s="406">
        <v>981.55</v>
      </c>
      <c r="H11" s="404" t="s">
        <v>15</v>
      </c>
      <c r="I11" s="404" t="s">
        <v>1045</v>
      </c>
      <c r="J11" s="336" t="s">
        <v>1617</v>
      </c>
      <c r="K11" s="405" t="s">
        <v>856</v>
      </c>
      <c r="L11" s="336" t="s">
        <v>1618</v>
      </c>
      <c r="M11" s="336" t="s">
        <v>1120</v>
      </c>
      <c r="N11" s="336" t="s">
        <v>1483</v>
      </c>
      <c r="O11" s="336" t="s">
        <v>826</v>
      </c>
      <c r="P11" s="336" t="s">
        <v>802</v>
      </c>
      <c r="Q11" s="408">
        <v>23900.74</v>
      </c>
      <c r="R11" s="408">
        <v>981.55</v>
      </c>
      <c r="S11" s="405" t="s">
        <v>15</v>
      </c>
      <c r="T11" s="405" t="s">
        <v>1058</v>
      </c>
      <c r="U11" s="336" t="s">
        <v>1619</v>
      </c>
      <c r="V11" s="403"/>
      <c r="W11" s="403"/>
      <c r="X11" s="403"/>
      <c r="Y11" s="403"/>
      <c r="Z11" s="403"/>
      <c r="AA11" s="408">
        <v>23900.74</v>
      </c>
      <c r="AB11" s="403"/>
    </row>
    <row r="12" spans="1:28" hidden="1" x14ac:dyDescent="0.3">
      <c r="A12" s="391">
        <f>SUMIF('kurzy ČNB'!A:A,'jb IFRS'!J12,'kurzy ČNB'!B:B)</f>
        <v>24.56</v>
      </c>
      <c r="B12" s="125">
        <f t="shared" si="4"/>
        <v>-281.80781758957653</v>
      </c>
      <c r="C12" s="126">
        <f t="shared" si="5"/>
        <v>-281.80781758957653</v>
      </c>
      <c r="D12" s="407" t="s">
        <v>802</v>
      </c>
      <c r="E12" s="404" t="s">
        <v>853</v>
      </c>
      <c r="F12" s="406">
        <v>-6921.2</v>
      </c>
      <c r="G12" s="406">
        <v>0</v>
      </c>
      <c r="H12" s="403"/>
      <c r="I12" s="404" t="s">
        <v>1045</v>
      </c>
      <c r="J12" s="336" t="s">
        <v>1620</v>
      </c>
      <c r="K12" s="405" t="s">
        <v>856</v>
      </c>
      <c r="L12" s="336" t="s">
        <v>1621</v>
      </c>
      <c r="M12" s="336" t="s">
        <v>1622</v>
      </c>
      <c r="N12" s="336" t="s">
        <v>1483</v>
      </c>
      <c r="O12" s="336" t="s">
        <v>826</v>
      </c>
      <c r="P12" s="336" t="s">
        <v>802</v>
      </c>
      <c r="Q12" s="408">
        <v>6921.2</v>
      </c>
      <c r="R12" s="408">
        <v>0</v>
      </c>
      <c r="S12" s="403"/>
      <c r="T12" s="403"/>
      <c r="U12" s="336" t="s">
        <v>1623</v>
      </c>
      <c r="V12" s="403"/>
      <c r="W12" s="403"/>
      <c r="X12" s="403"/>
      <c r="Y12" s="403"/>
      <c r="Z12" s="403"/>
      <c r="AA12" s="403"/>
      <c r="AB12" s="408">
        <v>6921.2</v>
      </c>
    </row>
    <row r="13" spans="1:28" hidden="1" x14ac:dyDescent="0.3">
      <c r="A13" s="391">
        <f>SUMIF('kurzy ČNB'!A:A,'jb IFRS'!J13,'kurzy ČNB'!B:B)</f>
        <v>24.56</v>
      </c>
      <c r="B13" s="125">
        <f t="shared" si="4"/>
        <v>281.80781758957653</v>
      </c>
      <c r="C13" s="126">
        <f t="shared" si="5"/>
        <v>281.80781758957653</v>
      </c>
      <c r="D13" s="407" t="s">
        <v>826</v>
      </c>
      <c r="E13" s="404" t="s">
        <v>855</v>
      </c>
      <c r="F13" s="406">
        <v>6921.2</v>
      </c>
      <c r="G13" s="406">
        <v>0</v>
      </c>
      <c r="H13" s="403"/>
      <c r="I13" s="404" t="s">
        <v>1045</v>
      </c>
      <c r="J13" s="336" t="s">
        <v>1620</v>
      </c>
      <c r="K13" s="405" t="s">
        <v>856</v>
      </c>
      <c r="L13" s="336" t="s">
        <v>1621</v>
      </c>
      <c r="M13" s="336" t="s">
        <v>1622</v>
      </c>
      <c r="N13" s="336" t="s">
        <v>1483</v>
      </c>
      <c r="O13" s="336" t="s">
        <v>826</v>
      </c>
      <c r="P13" s="336" t="s">
        <v>802</v>
      </c>
      <c r="Q13" s="408">
        <v>6921.2</v>
      </c>
      <c r="R13" s="408">
        <v>0</v>
      </c>
      <c r="S13" s="403"/>
      <c r="T13" s="403"/>
      <c r="U13" s="336" t="s">
        <v>1623</v>
      </c>
      <c r="V13" s="403"/>
      <c r="W13" s="403"/>
      <c r="X13" s="403"/>
      <c r="Y13" s="403"/>
      <c r="Z13" s="403"/>
      <c r="AA13" s="408">
        <v>6921.2</v>
      </c>
      <c r="AB13" s="403"/>
    </row>
    <row r="14" spans="1:28" hidden="1" x14ac:dyDescent="0.3">
      <c r="A14" s="391">
        <f>SUMIF('kurzy ČNB'!A:A,'jb IFRS'!J14,'kurzy ČNB'!B:B)</f>
        <v>24.765000000000001</v>
      </c>
      <c r="B14" s="125">
        <f t="shared" si="4"/>
        <v>-279.47506561679791</v>
      </c>
      <c r="C14" s="126">
        <f t="shared" si="5"/>
        <v>-287.69</v>
      </c>
      <c r="D14" s="407" t="s">
        <v>800</v>
      </c>
      <c r="E14" s="404" t="s">
        <v>853</v>
      </c>
      <c r="F14" s="406">
        <v>-6921.2</v>
      </c>
      <c r="G14" s="406">
        <v>-287.69</v>
      </c>
      <c r="H14" s="404" t="s">
        <v>15</v>
      </c>
      <c r="I14" s="404" t="s">
        <v>1045</v>
      </c>
      <c r="J14" s="336" t="s">
        <v>1624</v>
      </c>
      <c r="K14" s="405" t="s">
        <v>866</v>
      </c>
      <c r="L14" s="336" t="s">
        <v>868</v>
      </c>
      <c r="M14" s="336" t="s">
        <v>1625</v>
      </c>
      <c r="N14" s="336" t="s">
        <v>1483</v>
      </c>
      <c r="O14" s="336" t="s">
        <v>802</v>
      </c>
      <c r="P14" s="336" t="s">
        <v>800</v>
      </c>
      <c r="Q14" s="408">
        <v>6921.2</v>
      </c>
      <c r="R14" s="408">
        <v>287.69</v>
      </c>
      <c r="S14" s="405" t="s">
        <v>15</v>
      </c>
      <c r="T14" s="405" t="s">
        <v>1626</v>
      </c>
      <c r="U14" s="336" t="s">
        <v>1623</v>
      </c>
      <c r="V14" s="403"/>
      <c r="W14" s="403"/>
      <c r="X14" s="403"/>
      <c r="Y14" s="403"/>
      <c r="Z14" s="403"/>
      <c r="AA14" s="403"/>
      <c r="AB14" s="408">
        <v>6921.2</v>
      </c>
    </row>
    <row r="15" spans="1:28" hidden="1" x14ac:dyDescent="0.3">
      <c r="A15" s="391">
        <f>SUMIF('kurzy ČNB'!A:A,'jb IFRS'!J15,'kurzy ČNB'!B:B)</f>
        <v>24.765000000000001</v>
      </c>
      <c r="B15" s="125">
        <f t="shared" si="4"/>
        <v>279.47506561679791</v>
      </c>
      <c r="C15" s="126">
        <f t="shared" si="5"/>
        <v>287.69</v>
      </c>
      <c r="D15" s="407" t="s">
        <v>802</v>
      </c>
      <c r="E15" s="404" t="s">
        <v>855</v>
      </c>
      <c r="F15" s="406">
        <v>6921.2</v>
      </c>
      <c r="G15" s="406">
        <v>287.69</v>
      </c>
      <c r="H15" s="404" t="s">
        <v>15</v>
      </c>
      <c r="I15" s="404" t="s">
        <v>1045</v>
      </c>
      <c r="J15" s="336" t="s">
        <v>1624</v>
      </c>
      <c r="K15" s="405" t="s">
        <v>866</v>
      </c>
      <c r="L15" s="336" t="s">
        <v>868</v>
      </c>
      <c r="M15" s="336" t="s">
        <v>1625</v>
      </c>
      <c r="N15" s="336" t="s">
        <v>1483</v>
      </c>
      <c r="O15" s="336" t="s">
        <v>802</v>
      </c>
      <c r="P15" s="336" t="s">
        <v>800</v>
      </c>
      <c r="Q15" s="408">
        <v>6921.2</v>
      </c>
      <c r="R15" s="408">
        <v>287.69</v>
      </c>
      <c r="S15" s="405" t="s">
        <v>15</v>
      </c>
      <c r="T15" s="405" t="s">
        <v>1626</v>
      </c>
      <c r="U15" s="336" t="s">
        <v>1623</v>
      </c>
      <c r="V15" s="403"/>
      <c r="W15" s="403"/>
      <c r="X15" s="403"/>
      <c r="Y15" s="403"/>
      <c r="Z15" s="403"/>
      <c r="AA15" s="408">
        <v>6921.2</v>
      </c>
      <c r="AB15" s="403"/>
    </row>
    <row r="16" spans="1:28" hidden="1" x14ac:dyDescent="0.3">
      <c r="A16" s="391">
        <f>SUMIF('kurzy ČNB'!A:A,'jb IFRS'!J16,'kurzy ČNB'!B:B)</f>
        <v>24.785</v>
      </c>
      <c r="B16" s="125">
        <f t="shared" si="4"/>
        <v>-0.2400645551745007</v>
      </c>
      <c r="C16" s="126">
        <f t="shared" si="5"/>
        <v>-0.24000000000000002</v>
      </c>
      <c r="D16" s="407" t="s">
        <v>800</v>
      </c>
      <c r="E16" s="404" t="s">
        <v>853</v>
      </c>
      <c r="F16" s="406">
        <v>-5.95</v>
      </c>
      <c r="G16" s="406">
        <v>-0.24000000000000002</v>
      </c>
      <c r="H16" s="404" t="s">
        <v>15</v>
      </c>
      <c r="I16" s="404" t="s">
        <v>1045</v>
      </c>
      <c r="J16" s="336" t="s">
        <v>1627</v>
      </c>
      <c r="K16" s="405" t="s">
        <v>866</v>
      </c>
      <c r="L16" s="336" t="s">
        <v>870</v>
      </c>
      <c r="M16" s="336" t="s">
        <v>869</v>
      </c>
      <c r="N16" s="403"/>
      <c r="O16" s="336" t="s">
        <v>832</v>
      </c>
      <c r="P16" s="336" t="s">
        <v>800</v>
      </c>
      <c r="Q16" s="408">
        <v>5.95</v>
      </c>
      <c r="R16" s="408">
        <v>0.24000000000000002</v>
      </c>
      <c r="S16" s="405" t="s">
        <v>15</v>
      </c>
      <c r="T16" s="405" t="s">
        <v>1628</v>
      </c>
      <c r="U16" s="403"/>
      <c r="V16" s="403"/>
      <c r="W16" s="403"/>
      <c r="X16" s="403"/>
      <c r="Y16" s="403"/>
      <c r="Z16" s="403"/>
      <c r="AA16" s="403"/>
      <c r="AB16" s="408">
        <v>5.95</v>
      </c>
    </row>
    <row r="17" spans="1:28" hidden="1" x14ac:dyDescent="0.3">
      <c r="A17" s="391">
        <f>SUMIF('kurzy ČNB'!A:A,'jb IFRS'!J17,'kurzy ČNB'!B:B)</f>
        <v>24.785</v>
      </c>
      <c r="B17" s="125">
        <f t="shared" si="4"/>
        <v>0.2400645551745007</v>
      </c>
      <c r="C17" s="126">
        <f t="shared" si="5"/>
        <v>0.24000000000000002</v>
      </c>
      <c r="D17" s="407" t="s">
        <v>832</v>
      </c>
      <c r="E17" s="404" t="s">
        <v>855</v>
      </c>
      <c r="F17" s="406">
        <v>5.95</v>
      </c>
      <c r="G17" s="406">
        <v>0.24000000000000002</v>
      </c>
      <c r="H17" s="404" t="s">
        <v>15</v>
      </c>
      <c r="I17" s="404" t="s">
        <v>1045</v>
      </c>
      <c r="J17" s="336" t="s">
        <v>1627</v>
      </c>
      <c r="K17" s="405" t="s">
        <v>866</v>
      </c>
      <c r="L17" s="336" t="s">
        <v>870</v>
      </c>
      <c r="M17" s="336" t="s">
        <v>869</v>
      </c>
      <c r="N17" s="403"/>
      <c r="O17" s="336" t="s">
        <v>832</v>
      </c>
      <c r="P17" s="336" t="s">
        <v>800</v>
      </c>
      <c r="Q17" s="408">
        <v>5.95</v>
      </c>
      <c r="R17" s="408">
        <v>0.24000000000000002</v>
      </c>
      <c r="S17" s="405" t="s">
        <v>15</v>
      </c>
      <c r="T17" s="405" t="s">
        <v>1628</v>
      </c>
      <c r="U17" s="403"/>
      <c r="V17" s="403"/>
      <c r="W17" s="403"/>
      <c r="X17" s="403"/>
      <c r="Y17" s="403"/>
      <c r="Z17" s="403"/>
      <c r="AA17" s="408">
        <v>5.95</v>
      </c>
      <c r="AB17" s="403"/>
    </row>
    <row r="18" spans="1:28" hidden="1" x14ac:dyDescent="0.3">
      <c r="A18" s="391">
        <f>SUMIF('kurzy ČNB'!A:A,'jb IFRS'!J18,'kurzy ČNB'!B:B)</f>
        <v>24.785</v>
      </c>
      <c r="B18" s="125">
        <f t="shared" si="4"/>
        <v>-981.55013112769825</v>
      </c>
      <c r="C18" s="126">
        <f t="shared" si="5"/>
        <v>-981.55</v>
      </c>
      <c r="D18" s="407" t="s">
        <v>800</v>
      </c>
      <c r="E18" s="404" t="s">
        <v>853</v>
      </c>
      <c r="F18" s="406">
        <v>-24327.72</v>
      </c>
      <c r="G18" s="406">
        <v>-981.55</v>
      </c>
      <c r="H18" s="404" t="s">
        <v>15</v>
      </c>
      <c r="I18" s="404" t="s">
        <v>1045</v>
      </c>
      <c r="J18" s="336" t="s">
        <v>1627</v>
      </c>
      <c r="K18" s="405" t="s">
        <v>866</v>
      </c>
      <c r="L18" s="336" t="s">
        <v>871</v>
      </c>
      <c r="M18" s="336" t="s">
        <v>1629</v>
      </c>
      <c r="N18" s="336" t="s">
        <v>1483</v>
      </c>
      <c r="O18" s="336" t="s">
        <v>802</v>
      </c>
      <c r="P18" s="336" t="s">
        <v>800</v>
      </c>
      <c r="Q18" s="408">
        <v>24327.72</v>
      </c>
      <c r="R18" s="408">
        <v>981.55</v>
      </c>
      <c r="S18" s="405" t="s">
        <v>15</v>
      </c>
      <c r="T18" s="405" t="s">
        <v>1628</v>
      </c>
      <c r="U18" s="336" t="s">
        <v>1619</v>
      </c>
      <c r="V18" s="403"/>
      <c r="W18" s="403"/>
      <c r="X18" s="403"/>
      <c r="Y18" s="403"/>
      <c r="Z18" s="403"/>
      <c r="AA18" s="403"/>
      <c r="AB18" s="408">
        <v>24327.72</v>
      </c>
    </row>
    <row r="19" spans="1:28" hidden="1" x14ac:dyDescent="0.3">
      <c r="A19" s="391">
        <f>SUMIF('kurzy ČNB'!A:A,'jb IFRS'!J19,'kurzy ČNB'!B:B)</f>
        <v>24.785</v>
      </c>
      <c r="B19" s="125">
        <f t="shared" si="4"/>
        <v>981.55013112769825</v>
      </c>
      <c r="C19" s="126">
        <f t="shared" si="5"/>
        <v>981.55</v>
      </c>
      <c r="D19" s="407" t="s">
        <v>802</v>
      </c>
      <c r="E19" s="404" t="s">
        <v>855</v>
      </c>
      <c r="F19" s="406">
        <v>24327.72</v>
      </c>
      <c r="G19" s="406">
        <v>981.55</v>
      </c>
      <c r="H19" s="404" t="s">
        <v>15</v>
      </c>
      <c r="I19" s="404" t="s">
        <v>1045</v>
      </c>
      <c r="J19" s="336" t="s">
        <v>1627</v>
      </c>
      <c r="K19" s="405" t="s">
        <v>866</v>
      </c>
      <c r="L19" s="336" t="s">
        <v>871</v>
      </c>
      <c r="M19" s="336" t="s">
        <v>1629</v>
      </c>
      <c r="N19" s="336" t="s">
        <v>1483</v>
      </c>
      <c r="O19" s="336" t="s">
        <v>802</v>
      </c>
      <c r="P19" s="336" t="s">
        <v>800</v>
      </c>
      <c r="Q19" s="408">
        <v>24327.72</v>
      </c>
      <c r="R19" s="408">
        <v>981.55</v>
      </c>
      <c r="S19" s="405" t="s">
        <v>15</v>
      </c>
      <c r="T19" s="405" t="s">
        <v>1628</v>
      </c>
      <c r="U19" s="336" t="s">
        <v>1619</v>
      </c>
      <c r="V19" s="403"/>
      <c r="W19" s="403"/>
      <c r="X19" s="403"/>
      <c r="Y19" s="403"/>
      <c r="Z19" s="403"/>
      <c r="AA19" s="408">
        <v>24327.72</v>
      </c>
      <c r="AB19" s="403"/>
    </row>
    <row r="20" spans="1:28" hidden="1" x14ac:dyDescent="0.3">
      <c r="A20" s="391">
        <f>SUMIF('kurzy ČNB'!A:A,'jb IFRS'!J20,'kurzy ČNB'!B:B)</f>
        <v>24.785</v>
      </c>
      <c r="B20" s="125">
        <f t="shared" si="4"/>
        <v>-17.227355255194674</v>
      </c>
      <c r="C20" s="126">
        <f t="shared" si="5"/>
        <v>0</v>
      </c>
      <c r="D20" s="407" t="s">
        <v>802</v>
      </c>
      <c r="E20" s="404" t="s">
        <v>853</v>
      </c>
      <c r="F20" s="406">
        <v>-426.97999999999996</v>
      </c>
      <c r="G20" s="406">
        <v>0</v>
      </c>
      <c r="H20" s="404" t="s">
        <v>15</v>
      </c>
      <c r="I20" s="404" t="s">
        <v>1045</v>
      </c>
      <c r="J20" s="336" t="s">
        <v>1627</v>
      </c>
      <c r="K20" s="405" t="s">
        <v>866</v>
      </c>
      <c r="L20" s="336" t="s">
        <v>871</v>
      </c>
      <c r="M20" s="336" t="s">
        <v>1112</v>
      </c>
      <c r="N20" s="336" t="s">
        <v>1483</v>
      </c>
      <c r="O20" s="336" t="s">
        <v>830</v>
      </c>
      <c r="P20" s="336" t="s">
        <v>802</v>
      </c>
      <c r="Q20" s="408">
        <v>426.97999999999996</v>
      </c>
      <c r="R20" s="408">
        <v>0</v>
      </c>
      <c r="S20" s="405" t="s">
        <v>15</v>
      </c>
      <c r="T20" s="405" t="s">
        <v>1628</v>
      </c>
      <c r="U20" s="336" t="s">
        <v>1619</v>
      </c>
      <c r="V20" s="403"/>
      <c r="W20" s="403"/>
      <c r="X20" s="403"/>
      <c r="Y20" s="403"/>
      <c r="Z20" s="403"/>
      <c r="AA20" s="403"/>
      <c r="AB20" s="408">
        <v>426.97999999999996</v>
      </c>
    </row>
    <row r="21" spans="1:28" hidden="1" x14ac:dyDescent="0.3">
      <c r="A21" s="391">
        <f>SUMIF('kurzy ČNB'!A:A,'jb IFRS'!J21,'kurzy ČNB'!B:B)</f>
        <v>24.785</v>
      </c>
      <c r="B21" s="125">
        <f t="shared" si="4"/>
        <v>17.227355255194674</v>
      </c>
      <c r="C21" s="126">
        <f t="shared" si="5"/>
        <v>0</v>
      </c>
      <c r="D21" s="407" t="s">
        <v>830</v>
      </c>
      <c r="E21" s="404" t="s">
        <v>855</v>
      </c>
      <c r="F21" s="406">
        <v>426.97999999999996</v>
      </c>
      <c r="G21" s="406">
        <v>0</v>
      </c>
      <c r="H21" s="404" t="s">
        <v>15</v>
      </c>
      <c r="I21" s="404" t="s">
        <v>1045</v>
      </c>
      <c r="J21" s="336" t="s">
        <v>1627</v>
      </c>
      <c r="K21" s="405" t="s">
        <v>866</v>
      </c>
      <c r="L21" s="336" t="s">
        <v>871</v>
      </c>
      <c r="M21" s="336" t="s">
        <v>1112</v>
      </c>
      <c r="N21" s="336" t="s">
        <v>1483</v>
      </c>
      <c r="O21" s="336" t="s">
        <v>830</v>
      </c>
      <c r="P21" s="336" t="s">
        <v>802</v>
      </c>
      <c r="Q21" s="408">
        <v>426.97999999999996</v>
      </c>
      <c r="R21" s="408">
        <v>0</v>
      </c>
      <c r="S21" s="405" t="s">
        <v>15</v>
      </c>
      <c r="T21" s="405" t="s">
        <v>1628</v>
      </c>
      <c r="U21" s="336" t="s">
        <v>1619</v>
      </c>
      <c r="V21" s="403"/>
      <c r="W21" s="403"/>
      <c r="X21" s="403"/>
      <c r="Y21" s="403"/>
      <c r="Z21" s="403"/>
      <c r="AA21" s="408">
        <v>426.97999999999996</v>
      </c>
      <c r="AB21" s="403"/>
    </row>
    <row r="22" spans="1:28" hidden="1" x14ac:dyDescent="0.3">
      <c r="A22" s="391">
        <f>SUMIF('kurzy ČNB'!A:A,'jb IFRS'!J22,'kurzy ČNB'!B:B)</f>
        <v>24.785</v>
      </c>
      <c r="B22" s="125">
        <f t="shared" si="4"/>
        <v>-13507.232196893283</v>
      </c>
      <c r="C22" s="126">
        <f t="shared" si="5"/>
        <v>-13889.08</v>
      </c>
      <c r="D22" s="407" t="s">
        <v>800</v>
      </c>
      <c r="E22" s="404" t="s">
        <v>853</v>
      </c>
      <c r="F22" s="406">
        <v>-334776.75</v>
      </c>
      <c r="G22" s="406">
        <v>-13889.08</v>
      </c>
      <c r="H22" s="404" t="s">
        <v>15</v>
      </c>
      <c r="I22" s="404" t="s">
        <v>1045</v>
      </c>
      <c r="J22" s="336" t="s">
        <v>1627</v>
      </c>
      <c r="K22" s="405" t="s">
        <v>866</v>
      </c>
      <c r="L22" s="336" t="s">
        <v>872</v>
      </c>
      <c r="M22" s="336" t="s">
        <v>1630</v>
      </c>
      <c r="N22" s="336" t="s">
        <v>1482</v>
      </c>
      <c r="O22" s="336" t="s">
        <v>802</v>
      </c>
      <c r="P22" s="336" t="s">
        <v>800</v>
      </c>
      <c r="Q22" s="408">
        <v>334776.75</v>
      </c>
      <c r="R22" s="408">
        <v>13889.08</v>
      </c>
      <c r="S22" s="405" t="s">
        <v>15</v>
      </c>
      <c r="T22" s="405" t="s">
        <v>1631</v>
      </c>
      <c r="U22" s="336" t="s">
        <v>1566</v>
      </c>
      <c r="V22" s="403"/>
      <c r="W22" s="403"/>
      <c r="X22" s="403"/>
      <c r="Y22" s="403"/>
      <c r="Z22" s="403"/>
      <c r="AA22" s="403"/>
      <c r="AB22" s="408">
        <v>334776.75</v>
      </c>
    </row>
    <row r="23" spans="1:28" hidden="1" x14ac:dyDescent="0.3">
      <c r="A23" s="391">
        <f>SUMIF('kurzy ČNB'!A:A,'jb IFRS'!J23,'kurzy ČNB'!B:B)</f>
        <v>24.785</v>
      </c>
      <c r="B23" s="125">
        <f t="shared" si="4"/>
        <v>13507.232196893283</v>
      </c>
      <c r="C23" s="126">
        <f t="shared" si="5"/>
        <v>13889.08</v>
      </c>
      <c r="D23" s="407" t="s">
        <v>802</v>
      </c>
      <c r="E23" s="404" t="s">
        <v>855</v>
      </c>
      <c r="F23" s="406">
        <v>334776.75</v>
      </c>
      <c r="G23" s="406">
        <v>13889.08</v>
      </c>
      <c r="H23" s="404" t="s">
        <v>15</v>
      </c>
      <c r="I23" s="404" t="s">
        <v>1045</v>
      </c>
      <c r="J23" s="336" t="s">
        <v>1627</v>
      </c>
      <c r="K23" s="405" t="s">
        <v>866</v>
      </c>
      <c r="L23" s="336" t="s">
        <v>872</v>
      </c>
      <c r="M23" s="336" t="s">
        <v>1630</v>
      </c>
      <c r="N23" s="336" t="s">
        <v>1482</v>
      </c>
      <c r="O23" s="336" t="s">
        <v>802</v>
      </c>
      <c r="P23" s="336" t="s">
        <v>800</v>
      </c>
      <c r="Q23" s="408">
        <v>334776.75</v>
      </c>
      <c r="R23" s="408">
        <v>13889.08</v>
      </c>
      <c r="S23" s="405" t="s">
        <v>15</v>
      </c>
      <c r="T23" s="405" t="s">
        <v>1631</v>
      </c>
      <c r="U23" s="336" t="s">
        <v>1566</v>
      </c>
      <c r="V23" s="403"/>
      <c r="W23" s="403"/>
      <c r="X23" s="403"/>
      <c r="Y23" s="403"/>
      <c r="Z23" s="403"/>
      <c r="AA23" s="408">
        <v>334776.75</v>
      </c>
      <c r="AB23" s="403"/>
    </row>
    <row r="24" spans="1:28" hidden="1" x14ac:dyDescent="0.3">
      <c r="A24" s="391">
        <f>SUMIF('kurzy ČNB'!A:A,'jb IFRS'!J24,'kurzy ČNB'!B:B)</f>
        <v>24.76</v>
      </c>
      <c r="B24" s="125">
        <f t="shared" si="4"/>
        <v>-403.87722132471725</v>
      </c>
      <c r="C24" s="126">
        <f t="shared" si="5"/>
        <v>-403.87722132471725</v>
      </c>
      <c r="D24" s="407" t="s">
        <v>802</v>
      </c>
      <c r="E24" s="404" t="s">
        <v>853</v>
      </c>
      <c r="F24" s="406">
        <v>-10000</v>
      </c>
      <c r="G24" s="406">
        <v>0</v>
      </c>
      <c r="H24" s="403"/>
      <c r="I24" s="404" t="s">
        <v>1045</v>
      </c>
      <c r="J24" s="336" t="s">
        <v>1632</v>
      </c>
      <c r="K24" s="405" t="s">
        <v>856</v>
      </c>
      <c r="L24" s="336" t="s">
        <v>1633</v>
      </c>
      <c r="M24" s="336" t="s">
        <v>1050</v>
      </c>
      <c r="N24" s="336" t="s">
        <v>1486</v>
      </c>
      <c r="O24" s="336" t="s">
        <v>824</v>
      </c>
      <c r="P24" s="336" t="s">
        <v>802</v>
      </c>
      <c r="Q24" s="408">
        <v>10000</v>
      </c>
      <c r="R24" s="408">
        <v>0</v>
      </c>
      <c r="S24" s="403"/>
      <c r="T24" s="403"/>
      <c r="U24" s="336" t="s">
        <v>1634</v>
      </c>
      <c r="V24" s="403"/>
      <c r="W24" s="403"/>
      <c r="X24" s="403"/>
      <c r="Y24" s="403"/>
      <c r="Z24" s="403"/>
      <c r="AA24" s="403"/>
      <c r="AB24" s="408">
        <v>10000</v>
      </c>
    </row>
    <row r="25" spans="1:28" hidden="1" x14ac:dyDescent="0.3">
      <c r="A25" s="391">
        <f>SUMIF('kurzy ČNB'!A:A,'jb IFRS'!J25,'kurzy ČNB'!B:B)</f>
        <v>24.76</v>
      </c>
      <c r="B25" s="125">
        <f t="shared" si="4"/>
        <v>403.87722132471725</v>
      </c>
      <c r="C25" s="126">
        <f t="shared" si="5"/>
        <v>403.87722132471725</v>
      </c>
      <c r="D25" s="407" t="s">
        <v>824</v>
      </c>
      <c r="E25" s="404" t="s">
        <v>855</v>
      </c>
      <c r="F25" s="406">
        <v>10000</v>
      </c>
      <c r="G25" s="406">
        <v>0</v>
      </c>
      <c r="H25" s="403"/>
      <c r="I25" s="404" t="s">
        <v>1045</v>
      </c>
      <c r="J25" s="336" t="s">
        <v>1632</v>
      </c>
      <c r="K25" s="405" t="s">
        <v>856</v>
      </c>
      <c r="L25" s="336" t="s">
        <v>1633</v>
      </c>
      <c r="M25" s="336" t="s">
        <v>1050</v>
      </c>
      <c r="N25" s="336" t="s">
        <v>1486</v>
      </c>
      <c r="O25" s="336" t="s">
        <v>824</v>
      </c>
      <c r="P25" s="336" t="s">
        <v>802</v>
      </c>
      <c r="Q25" s="408">
        <v>10000</v>
      </c>
      <c r="R25" s="408">
        <v>0</v>
      </c>
      <c r="S25" s="403"/>
      <c r="T25" s="403"/>
      <c r="U25" s="336" t="s">
        <v>1634</v>
      </c>
      <c r="V25" s="403"/>
      <c r="W25" s="403"/>
      <c r="X25" s="403"/>
      <c r="Y25" s="403"/>
      <c r="Z25" s="403"/>
      <c r="AA25" s="408">
        <v>10000</v>
      </c>
      <c r="AB25" s="403"/>
    </row>
    <row r="26" spans="1:28" hidden="1" x14ac:dyDescent="0.3">
      <c r="A26" s="391">
        <f>SUMIF('kurzy ČNB'!A:A,'jb IFRS'!J26,'kurzy ČNB'!B:B)</f>
        <v>24.885000000000002</v>
      </c>
      <c r="B26" s="125">
        <f t="shared" si="4"/>
        <v>-566.05264215390798</v>
      </c>
      <c r="C26" s="126">
        <f t="shared" si="5"/>
        <v>-566.28000000000009</v>
      </c>
      <c r="D26" s="407" t="s">
        <v>802</v>
      </c>
      <c r="E26" s="404" t="s">
        <v>853</v>
      </c>
      <c r="F26" s="406">
        <v>-14086.220000000001</v>
      </c>
      <c r="G26" s="406">
        <v>-566.28000000000009</v>
      </c>
      <c r="H26" s="404" t="s">
        <v>15</v>
      </c>
      <c r="I26" s="404" t="s">
        <v>1045</v>
      </c>
      <c r="J26" s="336" t="s">
        <v>1635</v>
      </c>
      <c r="K26" s="405" t="s">
        <v>856</v>
      </c>
      <c r="L26" s="336" t="s">
        <v>1636</v>
      </c>
      <c r="M26" s="336" t="s">
        <v>1637</v>
      </c>
      <c r="N26" s="336" t="s">
        <v>1483</v>
      </c>
      <c r="O26" s="336" t="s">
        <v>826</v>
      </c>
      <c r="P26" s="336" t="s">
        <v>802</v>
      </c>
      <c r="Q26" s="408">
        <v>14086.220000000001</v>
      </c>
      <c r="R26" s="408">
        <v>566.28000000000009</v>
      </c>
      <c r="S26" s="405" t="s">
        <v>15</v>
      </c>
      <c r="T26" s="405" t="s">
        <v>1638</v>
      </c>
      <c r="U26" s="336" t="s">
        <v>1639</v>
      </c>
      <c r="V26" s="403"/>
      <c r="W26" s="403"/>
      <c r="X26" s="403"/>
      <c r="Y26" s="403"/>
      <c r="Z26" s="403"/>
      <c r="AA26" s="403"/>
      <c r="AB26" s="408">
        <v>14086.220000000001</v>
      </c>
    </row>
    <row r="27" spans="1:28" hidden="1" x14ac:dyDescent="0.3">
      <c r="A27" s="391">
        <f>SUMIF('kurzy ČNB'!A:A,'jb IFRS'!J27,'kurzy ČNB'!B:B)</f>
        <v>24.885000000000002</v>
      </c>
      <c r="B27" s="125">
        <f t="shared" si="4"/>
        <v>566.05264215390798</v>
      </c>
      <c r="C27" s="126">
        <f t="shared" si="5"/>
        <v>566.28000000000009</v>
      </c>
      <c r="D27" s="407" t="s">
        <v>826</v>
      </c>
      <c r="E27" s="404" t="s">
        <v>855</v>
      </c>
      <c r="F27" s="406">
        <v>14086.220000000001</v>
      </c>
      <c r="G27" s="406">
        <v>566.28000000000009</v>
      </c>
      <c r="H27" s="404" t="s">
        <v>15</v>
      </c>
      <c r="I27" s="404" t="s">
        <v>1045</v>
      </c>
      <c r="J27" s="336" t="s">
        <v>1635</v>
      </c>
      <c r="K27" s="405" t="s">
        <v>856</v>
      </c>
      <c r="L27" s="336" t="s">
        <v>1636</v>
      </c>
      <c r="M27" s="336" t="s">
        <v>1637</v>
      </c>
      <c r="N27" s="336" t="s">
        <v>1483</v>
      </c>
      <c r="O27" s="336" t="s">
        <v>826</v>
      </c>
      <c r="P27" s="336" t="s">
        <v>802</v>
      </c>
      <c r="Q27" s="408">
        <v>14086.220000000001</v>
      </c>
      <c r="R27" s="408">
        <v>566.28000000000009</v>
      </c>
      <c r="S27" s="405" t="s">
        <v>15</v>
      </c>
      <c r="T27" s="405" t="s">
        <v>1638</v>
      </c>
      <c r="U27" s="336" t="s">
        <v>1639</v>
      </c>
      <c r="V27" s="403"/>
      <c r="W27" s="403"/>
      <c r="X27" s="403"/>
      <c r="Y27" s="403"/>
      <c r="Z27" s="403"/>
      <c r="AA27" s="408">
        <v>14086.220000000001</v>
      </c>
      <c r="AB27" s="403"/>
    </row>
    <row r="28" spans="1:28" hidden="1" x14ac:dyDescent="0.3">
      <c r="A28" s="391">
        <f>SUMIF('kurzy ČNB'!A:A,'jb IFRS'!J28,'kurzy ČNB'!B:B)</f>
        <v>24.885000000000002</v>
      </c>
      <c r="B28" s="125">
        <f t="shared" si="4"/>
        <v>-278.12738597548724</v>
      </c>
      <c r="C28" s="126">
        <f t="shared" si="5"/>
        <v>-278.12738597548724</v>
      </c>
      <c r="D28" s="407" t="s">
        <v>802</v>
      </c>
      <c r="E28" s="404" t="s">
        <v>853</v>
      </c>
      <c r="F28" s="406">
        <v>-6921.2</v>
      </c>
      <c r="G28" s="406">
        <v>0</v>
      </c>
      <c r="H28" s="403"/>
      <c r="I28" s="404" t="s">
        <v>1045</v>
      </c>
      <c r="J28" s="336" t="s">
        <v>1635</v>
      </c>
      <c r="K28" s="405" t="s">
        <v>856</v>
      </c>
      <c r="L28" s="336" t="s">
        <v>1640</v>
      </c>
      <c r="M28" s="336" t="s">
        <v>1641</v>
      </c>
      <c r="N28" s="336" t="s">
        <v>1483</v>
      </c>
      <c r="O28" s="336" t="s">
        <v>826</v>
      </c>
      <c r="P28" s="336" t="s">
        <v>802</v>
      </c>
      <c r="Q28" s="408">
        <v>6921.2</v>
      </c>
      <c r="R28" s="408">
        <v>0</v>
      </c>
      <c r="S28" s="403"/>
      <c r="T28" s="403"/>
      <c r="U28" s="336" t="s">
        <v>1642</v>
      </c>
      <c r="V28" s="403"/>
      <c r="W28" s="403"/>
      <c r="X28" s="403"/>
      <c r="Y28" s="403"/>
      <c r="Z28" s="403"/>
      <c r="AA28" s="403"/>
      <c r="AB28" s="408">
        <v>6921.2</v>
      </c>
    </row>
    <row r="29" spans="1:28" hidden="1" x14ac:dyDescent="0.3">
      <c r="A29" s="391">
        <f>SUMIF('kurzy ČNB'!A:A,'jb IFRS'!J29,'kurzy ČNB'!B:B)</f>
        <v>24.885000000000002</v>
      </c>
      <c r="B29" s="125">
        <f t="shared" si="4"/>
        <v>278.12738597548724</v>
      </c>
      <c r="C29" s="126">
        <f t="shared" si="5"/>
        <v>278.12738597548724</v>
      </c>
      <c r="D29" s="407" t="s">
        <v>826</v>
      </c>
      <c r="E29" s="404" t="s">
        <v>855</v>
      </c>
      <c r="F29" s="406">
        <v>6921.2</v>
      </c>
      <c r="G29" s="406">
        <v>0</v>
      </c>
      <c r="H29" s="403"/>
      <c r="I29" s="404" t="s">
        <v>1045</v>
      </c>
      <c r="J29" s="336" t="s">
        <v>1635</v>
      </c>
      <c r="K29" s="405" t="s">
        <v>856</v>
      </c>
      <c r="L29" s="336" t="s">
        <v>1640</v>
      </c>
      <c r="M29" s="336" t="s">
        <v>1641</v>
      </c>
      <c r="N29" s="336" t="s">
        <v>1483</v>
      </c>
      <c r="O29" s="336" t="s">
        <v>826</v>
      </c>
      <c r="P29" s="336" t="s">
        <v>802</v>
      </c>
      <c r="Q29" s="408">
        <v>6921.2</v>
      </c>
      <c r="R29" s="408">
        <v>0</v>
      </c>
      <c r="S29" s="403"/>
      <c r="T29" s="403"/>
      <c r="U29" s="336" t="s">
        <v>1642</v>
      </c>
      <c r="V29" s="403"/>
      <c r="W29" s="403"/>
      <c r="X29" s="403"/>
      <c r="Y29" s="403"/>
      <c r="Z29" s="403"/>
      <c r="AA29" s="408">
        <v>6921.2</v>
      </c>
      <c r="AB29" s="403"/>
    </row>
    <row r="30" spans="1:28" hidden="1" x14ac:dyDescent="0.3">
      <c r="A30" s="391">
        <f>SUMIF('kurzy ČNB'!A:A,'jb IFRS'!J30,'kurzy ČNB'!B:B)</f>
        <v>24.885000000000002</v>
      </c>
      <c r="B30" s="125">
        <f t="shared" si="4"/>
        <v>-124761.61985131603</v>
      </c>
      <c r="C30" s="126">
        <f t="shared" si="5"/>
        <v>-124761.62000000001</v>
      </c>
      <c r="D30" s="407" t="s">
        <v>834</v>
      </c>
      <c r="E30" s="404" t="s">
        <v>853</v>
      </c>
      <c r="F30" s="406">
        <v>-3104692.9099999997</v>
      </c>
      <c r="G30" s="406">
        <v>-124761.62000000001</v>
      </c>
      <c r="H30" s="404" t="s">
        <v>15</v>
      </c>
      <c r="I30" s="404" t="s">
        <v>1045</v>
      </c>
      <c r="J30" s="336" t="s">
        <v>1635</v>
      </c>
      <c r="K30" s="405" t="s">
        <v>865</v>
      </c>
      <c r="L30" s="336" t="s">
        <v>1643</v>
      </c>
      <c r="M30" s="336" t="s">
        <v>1644</v>
      </c>
      <c r="N30" s="403"/>
      <c r="O30" s="336" t="s">
        <v>772</v>
      </c>
      <c r="P30" s="336" t="s">
        <v>834</v>
      </c>
      <c r="Q30" s="408">
        <v>3104692.9099999997</v>
      </c>
      <c r="R30" s="408">
        <v>124761.62000000001</v>
      </c>
      <c r="S30" s="405" t="s">
        <v>15</v>
      </c>
      <c r="T30" s="405" t="s">
        <v>1645</v>
      </c>
      <c r="U30" s="336" t="s">
        <v>1518</v>
      </c>
      <c r="V30" s="403"/>
      <c r="W30" s="403"/>
      <c r="X30" s="403"/>
      <c r="Y30" s="403"/>
      <c r="Z30" s="403"/>
      <c r="AA30" s="403"/>
      <c r="AB30" s="408">
        <v>3104692.9099999997</v>
      </c>
    </row>
    <row r="31" spans="1:28" hidden="1" x14ac:dyDescent="0.3">
      <c r="A31" s="391">
        <f>SUMIF('kurzy ČNB'!A:A,'jb IFRS'!J31,'kurzy ČNB'!B:B)</f>
        <v>24.885000000000002</v>
      </c>
      <c r="B31" s="125">
        <f t="shared" si="4"/>
        <v>124761.61985131603</v>
      </c>
      <c r="C31" s="126">
        <f t="shared" si="5"/>
        <v>124761.62000000001</v>
      </c>
      <c r="D31" s="407" t="s">
        <v>772</v>
      </c>
      <c r="E31" s="404" t="s">
        <v>855</v>
      </c>
      <c r="F31" s="406">
        <v>3104692.9099999997</v>
      </c>
      <c r="G31" s="406">
        <v>124761.62000000001</v>
      </c>
      <c r="H31" s="404" t="s">
        <v>15</v>
      </c>
      <c r="I31" s="404" t="s">
        <v>1045</v>
      </c>
      <c r="J31" s="336" t="s">
        <v>1635</v>
      </c>
      <c r="K31" s="405" t="s">
        <v>865</v>
      </c>
      <c r="L31" s="336" t="s">
        <v>1643</v>
      </c>
      <c r="M31" s="336" t="s">
        <v>1644</v>
      </c>
      <c r="N31" s="403"/>
      <c r="O31" s="336" t="s">
        <v>772</v>
      </c>
      <c r="P31" s="336" t="s">
        <v>834</v>
      </c>
      <c r="Q31" s="408">
        <v>3104692.9099999997</v>
      </c>
      <c r="R31" s="408">
        <v>124761.62000000001</v>
      </c>
      <c r="S31" s="405" t="s">
        <v>15</v>
      </c>
      <c r="T31" s="405" t="s">
        <v>1645</v>
      </c>
      <c r="U31" s="336" t="s">
        <v>1518</v>
      </c>
      <c r="V31" s="403"/>
      <c r="W31" s="403"/>
      <c r="X31" s="403"/>
      <c r="Y31" s="403"/>
      <c r="Z31" s="403"/>
      <c r="AA31" s="408">
        <v>3104692.9099999997</v>
      </c>
      <c r="AB31" s="403"/>
    </row>
    <row r="32" spans="1:28" hidden="1" x14ac:dyDescent="0.3">
      <c r="A32" s="391">
        <f>SUMIF('kurzy ČNB'!A:A,'jb IFRS'!J32,'kurzy ČNB'!B:B)</f>
        <v>24.885000000000002</v>
      </c>
      <c r="B32" s="125">
        <f t="shared" si="4"/>
        <v>-117242.62005224031</v>
      </c>
      <c r="C32" s="126">
        <f t="shared" si="5"/>
        <v>-117242.62000000001</v>
      </c>
      <c r="D32" s="407" t="s">
        <v>818</v>
      </c>
      <c r="E32" s="404" t="s">
        <v>853</v>
      </c>
      <c r="F32" s="406">
        <v>-2917582.6</v>
      </c>
      <c r="G32" s="406">
        <v>-117242.62000000001</v>
      </c>
      <c r="H32" s="404" t="s">
        <v>15</v>
      </c>
      <c r="I32" s="404" t="s">
        <v>1045</v>
      </c>
      <c r="J32" s="336" t="s">
        <v>1635</v>
      </c>
      <c r="K32" s="405" t="s">
        <v>865</v>
      </c>
      <c r="L32" s="336" t="s">
        <v>1646</v>
      </c>
      <c r="M32" s="336" t="s">
        <v>1647</v>
      </c>
      <c r="N32" s="403"/>
      <c r="O32" s="336" t="s">
        <v>828</v>
      </c>
      <c r="P32" s="336" t="s">
        <v>818</v>
      </c>
      <c r="Q32" s="408">
        <v>2917582.6</v>
      </c>
      <c r="R32" s="408">
        <v>117242.62000000001</v>
      </c>
      <c r="S32" s="405" t="s">
        <v>15</v>
      </c>
      <c r="T32" s="405" t="s">
        <v>1645</v>
      </c>
      <c r="U32" s="336" t="s">
        <v>1517</v>
      </c>
      <c r="V32" s="403"/>
      <c r="W32" s="403"/>
      <c r="X32" s="403"/>
      <c r="Y32" s="403"/>
      <c r="Z32" s="403"/>
      <c r="AA32" s="403"/>
      <c r="AB32" s="408">
        <v>2917582.6</v>
      </c>
    </row>
    <row r="33" spans="1:28" hidden="1" x14ac:dyDescent="0.3">
      <c r="A33" s="391">
        <f>SUMIF('kurzy ČNB'!A:A,'jb IFRS'!J33,'kurzy ČNB'!B:B)</f>
        <v>24.885000000000002</v>
      </c>
      <c r="B33" s="125">
        <f t="shared" si="4"/>
        <v>117242.62005224031</v>
      </c>
      <c r="C33" s="126">
        <f t="shared" si="5"/>
        <v>117242.62000000001</v>
      </c>
      <c r="D33" s="407" t="s">
        <v>828</v>
      </c>
      <c r="E33" s="404" t="s">
        <v>855</v>
      </c>
      <c r="F33" s="406">
        <v>2917582.6</v>
      </c>
      <c r="G33" s="406">
        <v>117242.62000000001</v>
      </c>
      <c r="H33" s="404" t="s">
        <v>15</v>
      </c>
      <c r="I33" s="404" t="s">
        <v>1045</v>
      </c>
      <c r="J33" s="336" t="s">
        <v>1635</v>
      </c>
      <c r="K33" s="405" t="s">
        <v>865</v>
      </c>
      <c r="L33" s="336" t="s">
        <v>1646</v>
      </c>
      <c r="M33" s="336" t="s">
        <v>1647</v>
      </c>
      <c r="N33" s="403"/>
      <c r="O33" s="336" t="s">
        <v>828</v>
      </c>
      <c r="P33" s="336" t="s">
        <v>818</v>
      </c>
      <c r="Q33" s="408">
        <v>2917582.6</v>
      </c>
      <c r="R33" s="408">
        <v>117242.62000000001</v>
      </c>
      <c r="S33" s="405" t="s">
        <v>15</v>
      </c>
      <c r="T33" s="405" t="s">
        <v>1645</v>
      </c>
      <c r="U33" s="336" t="s">
        <v>1517</v>
      </c>
      <c r="V33" s="403"/>
      <c r="W33" s="403"/>
      <c r="X33" s="403"/>
      <c r="Y33" s="403"/>
      <c r="Z33" s="403"/>
      <c r="AA33" s="408">
        <v>2917582.6</v>
      </c>
      <c r="AB33" s="403"/>
    </row>
    <row r="34" spans="1:28" hidden="1" x14ac:dyDescent="0.3">
      <c r="A34" s="391">
        <f>SUMIF('kurzy ČNB'!A:A,'jb IFRS'!J34,'kurzy ČNB'!B:B)</f>
        <v>24.885000000000002</v>
      </c>
      <c r="B34" s="125">
        <f t="shared" si="4"/>
        <v>-0.72011251758087191</v>
      </c>
      <c r="C34" s="126">
        <f t="shared" si="5"/>
        <v>-0.72000000000000008</v>
      </c>
      <c r="D34" s="407" t="s">
        <v>800</v>
      </c>
      <c r="E34" s="404" t="s">
        <v>853</v>
      </c>
      <c r="F34" s="406">
        <v>-17.919999999999998</v>
      </c>
      <c r="G34" s="406">
        <v>-0.72000000000000008</v>
      </c>
      <c r="H34" s="404" t="s">
        <v>15</v>
      </c>
      <c r="I34" s="404" t="s">
        <v>1045</v>
      </c>
      <c r="J34" s="336" t="s">
        <v>1635</v>
      </c>
      <c r="K34" s="405" t="s">
        <v>866</v>
      </c>
      <c r="L34" s="336" t="s">
        <v>873</v>
      </c>
      <c r="M34" s="336" t="s">
        <v>869</v>
      </c>
      <c r="N34" s="403"/>
      <c r="O34" s="336" t="s">
        <v>832</v>
      </c>
      <c r="P34" s="336" t="s">
        <v>800</v>
      </c>
      <c r="Q34" s="408">
        <v>17.919999999999998</v>
      </c>
      <c r="R34" s="408">
        <v>0.72000000000000008</v>
      </c>
      <c r="S34" s="405" t="s">
        <v>15</v>
      </c>
      <c r="T34" s="405" t="s">
        <v>1645</v>
      </c>
      <c r="U34" s="403"/>
      <c r="V34" s="403"/>
      <c r="W34" s="403"/>
      <c r="X34" s="403"/>
      <c r="Y34" s="403"/>
      <c r="Z34" s="403"/>
      <c r="AA34" s="403"/>
      <c r="AB34" s="408">
        <v>17.919999999999998</v>
      </c>
    </row>
    <row r="35" spans="1:28" hidden="1" x14ac:dyDescent="0.3">
      <c r="A35" s="391">
        <f>SUMIF('kurzy ČNB'!A:A,'jb IFRS'!J35,'kurzy ČNB'!B:B)</f>
        <v>24.885000000000002</v>
      </c>
      <c r="B35" s="125">
        <f t="shared" si="4"/>
        <v>0.72011251758087191</v>
      </c>
      <c r="C35" s="126">
        <f t="shared" si="5"/>
        <v>0.72000000000000008</v>
      </c>
      <c r="D35" s="407" t="s">
        <v>832</v>
      </c>
      <c r="E35" s="404" t="s">
        <v>855</v>
      </c>
      <c r="F35" s="406">
        <v>17.919999999999998</v>
      </c>
      <c r="G35" s="406">
        <v>0.72000000000000008</v>
      </c>
      <c r="H35" s="404" t="s">
        <v>15</v>
      </c>
      <c r="I35" s="404" t="s">
        <v>1045</v>
      </c>
      <c r="J35" s="336" t="s">
        <v>1635</v>
      </c>
      <c r="K35" s="405" t="s">
        <v>866</v>
      </c>
      <c r="L35" s="336" t="s">
        <v>873</v>
      </c>
      <c r="M35" s="336" t="s">
        <v>869</v>
      </c>
      <c r="N35" s="403"/>
      <c r="O35" s="336" t="s">
        <v>832</v>
      </c>
      <c r="P35" s="336" t="s">
        <v>800</v>
      </c>
      <c r="Q35" s="408">
        <v>17.919999999999998</v>
      </c>
      <c r="R35" s="408">
        <v>0.72000000000000008</v>
      </c>
      <c r="S35" s="405" t="s">
        <v>15</v>
      </c>
      <c r="T35" s="405" t="s">
        <v>1645</v>
      </c>
      <c r="U35" s="403"/>
      <c r="V35" s="403"/>
      <c r="W35" s="403"/>
      <c r="X35" s="403"/>
      <c r="Y35" s="403"/>
      <c r="Z35" s="403"/>
      <c r="AA35" s="408">
        <v>17.919999999999998</v>
      </c>
      <c r="AB35" s="403"/>
    </row>
    <row r="36" spans="1:28" hidden="1" x14ac:dyDescent="0.3">
      <c r="A36" s="391">
        <f>SUMIF('kurzy ČNB'!A:A,'jb IFRS'!J36,'kurzy ČNB'!B:B)</f>
        <v>24.885000000000002</v>
      </c>
      <c r="B36" s="125">
        <f t="shared" si="4"/>
        <v>-1.2099658428772353</v>
      </c>
      <c r="C36" s="126">
        <f t="shared" si="5"/>
        <v>-1.21</v>
      </c>
      <c r="D36" s="407" t="s">
        <v>800</v>
      </c>
      <c r="E36" s="404" t="s">
        <v>853</v>
      </c>
      <c r="F36" s="406">
        <v>-30.110000000000003</v>
      </c>
      <c r="G36" s="406">
        <v>-1.21</v>
      </c>
      <c r="H36" s="404" t="s">
        <v>15</v>
      </c>
      <c r="I36" s="404" t="s">
        <v>1045</v>
      </c>
      <c r="J36" s="336" t="s">
        <v>1635</v>
      </c>
      <c r="K36" s="405" t="s">
        <v>866</v>
      </c>
      <c r="L36" s="336" t="s">
        <v>1052</v>
      </c>
      <c r="M36" s="336" t="s">
        <v>869</v>
      </c>
      <c r="N36" s="403"/>
      <c r="O36" s="336" t="s">
        <v>832</v>
      </c>
      <c r="P36" s="336" t="s">
        <v>800</v>
      </c>
      <c r="Q36" s="408">
        <v>30.110000000000003</v>
      </c>
      <c r="R36" s="408">
        <v>1.21</v>
      </c>
      <c r="S36" s="405" t="s">
        <v>15</v>
      </c>
      <c r="T36" s="405" t="s">
        <v>1645</v>
      </c>
      <c r="U36" s="403"/>
      <c r="V36" s="403"/>
      <c r="W36" s="403"/>
      <c r="X36" s="403"/>
      <c r="Y36" s="403"/>
      <c r="Z36" s="403"/>
      <c r="AA36" s="403"/>
      <c r="AB36" s="408">
        <v>30.110000000000003</v>
      </c>
    </row>
    <row r="37" spans="1:28" hidden="1" x14ac:dyDescent="0.3">
      <c r="A37" s="391">
        <f>SUMIF('kurzy ČNB'!A:A,'jb IFRS'!J37,'kurzy ČNB'!B:B)</f>
        <v>24.885000000000002</v>
      </c>
      <c r="B37" s="125">
        <f t="shared" si="4"/>
        <v>1.2099658428772353</v>
      </c>
      <c r="C37" s="126">
        <f t="shared" si="5"/>
        <v>1.21</v>
      </c>
      <c r="D37" s="407" t="s">
        <v>832</v>
      </c>
      <c r="E37" s="404" t="s">
        <v>855</v>
      </c>
      <c r="F37" s="406">
        <v>30.110000000000003</v>
      </c>
      <c r="G37" s="406">
        <v>1.21</v>
      </c>
      <c r="H37" s="404" t="s">
        <v>15</v>
      </c>
      <c r="I37" s="404" t="s">
        <v>1045</v>
      </c>
      <c r="J37" s="336" t="s">
        <v>1635</v>
      </c>
      <c r="K37" s="405" t="s">
        <v>866</v>
      </c>
      <c r="L37" s="336" t="s">
        <v>1052</v>
      </c>
      <c r="M37" s="336" t="s">
        <v>869</v>
      </c>
      <c r="N37" s="403"/>
      <c r="O37" s="336" t="s">
        <v>832</v>
      </c>
      <c r="P37" s="336" t="s">
        <v>800</v>
      </c>
      <c r="Q37" s="408">
        <v>30.110000000000003</v>
      </c>
      <c r="R37" s="408">
        <v>1.21</v>
      </c>
      <c r="S37" s="405" t="s">
        <v>15</v>
      </c>
      <c r="T37" s="405" t="s">
        <v>1645</v>
      </c>
      <c r="U37" s="403"/>
      <c r="V37" s="403"/>
      <c r="W37" s="403"/>
      <c r="X37" s="403"/>
      <c r="Y37" s="403"/>
      <c r="Z37" s="403"/>
      <c r="AA37" s="408">
        <v>30.110000000000003</v>
      </c>
      <c r="AB37" s="403"/>
    </row>
    <row r="38" spans="1:28" hidden="1" x14ac:dyDescent="0.3">
      <c r="A38" s="391">
        <f>SUMIF('kurzy ČNB'!A:A,'jb IFRS'!J38,'kurzy ČNB'!B:B)</f>
        <v>24.885000000000002</v>
      </c>
      <c r="B38" s="125">
        <f t="shared" si="4"/>
        <v>-7.8400642957604978</v>
      </c>
      <c r="C38" s="126">
        <f t="shared" si="5"/>
        <v>-7.84</v>
      </c>
      <c r="D38" s="407" t="s">
        <v>800</v>
      </c>
      <c r="E38" s="404" t="s">
        <v>853</v>
      </c>
      <c r="F38" s="406">
        <v>-195.1</v>
      </c>
      <c r="G38" s="406">
        <v>-7.84</v>
      </c>
      <c r="H38" s="404" t="s">
        <v>15</v>
      </c>
      <c r="I38" s="404" t="s">
        <v>1045</v>
      </c>
      <c r="J38" s="336" t="s">
        <v>1635</v>
      </c>
      <c r="K38" s="405" t="s">
        <v>866</v>
      </c>
      <c r="L38" s="336" t="s">
        <v>1053</v>
      </c>
      <c r="M38" s="336" t="s">
        <v>869</v>
      </c>
      <c r="N38" s="403"/>
      <c r="O38" s="336" t="s">
        <v>832</v>
      </c>
      <c r="P38" s="336" t="s">
        <v>800</v>
      </c>
      <c r="Q38" s="408">
        <v>195.1</v>
      </c>
      <c r="R38" s="408">
        <v>7.84</v>
      </c>
      <c r="S38" s="405" t="s">
        <v>15</v>
      </c>
      <c r="T38" s="405" t="s">
        <v>1645</v>
      </c>
      <c r="U38" s="403"/>
      <c r="V38" s="403"/>
      <c r="W38" s="403"/>
      <c r="X38" s="403"/>
      <c r="Y38" s="403"/>
      <c r="Z38" s="403"/>
      <c r="AA38" s="403"/>
      <c r="AB38" s="408">
        <v>195.1</v>
      </c>
    </row>
    <row r="39" spans="1:28" hidden="1" x14ac:dyDescent="0.3">
      <c r="A39" s="391">
        <f>SUMIF('kurzy ČNB'!A:A,'jb IFRS'!J39,'kurzy ČNB'!B:B)</f>
        <v>24.885000000000002</v>
      </c>
      <c r="B39" s="125">
        <f t="shared" si="4"/>
        <v>7.8400642957604978</v>
      </c>
      <c r="C39" s="126">
        <f t="shared" si="5"/>
        <v>7.84</v>
      </c>
      <c r="D39" s="407" t="s">
        <v>832</v>
      </c>
      <c r="E39" s="404" t="s">
        <v>855</v>
      </c>
      <c r="F39" s="406">
        <v>195.1</v>
      </c>
      <c r="G39" s="406">
        <v>7.84</v>
      </c>
      <c r="H39" s="404" t="s">
        <v>15</v>
      </c>
      <c r="I39" s="404" t="s">
        <v>1045</v>
      </c>
      <c r="J39" s="336" t="s">
        <v>1635</v>
      </c>
      <c r="K39" s="405" t="s">
        <v>866</v>
      </c>
      <c r="L39" s="336" t="s">
        <v>1053</v>
      </c>
      <c r="M39" s="336" t="s">
        <v>869</v>
      </c>
      <c r="N39" s="403"/>
      <c r="O39" s="336" t="s">
        <v>832</v>
      </c>
      <c r="P39" s="336" t="s">
        <v>800</v>
      </c>
      <c r="Q39" s="408">
        <v>195.1</v>
      </c>
      <c r="R39" s="408">
        <v>7.84</v>
      </c>
      <c r="S39" s="405" t="s">
        <v>15</v>
      </c>
      <c r="T39" s="405" t="s">
        <v>1645</v>
      </c>
      <c r="U39" s="403"/>
      <c r="V39" s="403"/>
      <c r="W39" s="403"/>
      <c r="X39" s="403"/>
      <c r="Y39" s="403"/>
      <c r="Z39" s="403"/>
      <c r="AA39" s="408">
        <v>195.1</v>
      </c>
      <c r="AB39" s="403"/>
    </row>
    <row r="40" spans="1:28" hidden="1" x14ac:dyDescent="0.3">
      <c r="A40" s="391">
        <f>SUMIF('kurzy ČNB'!A:A,'jb IFRS'!J40,'kurzy ČNB'!B:B)</f>
        <v>24.885000000000002</v>
      </c>
      <c r="B40" s="125">
        <f t="shared" si="4"/>
        <v>-12.859955796664655</v>
      </c>
      <c r="C40" s="126">
        <f t="shared" si="5"/>
        <v>-12.860000000000001</v>
      </c>
      <c r="D40" s="407" t="s">
        <v>800</v>
      </c>
      <c r="E40" s="404" t="s">
        <v>853</v>
      </c>
      <c r="F40" s="406">
        <v>-320.02</v>
      </c>
      <c r="G40" s="406">
        <v>-12.860000000000001</v>
      </c>
      <c r="H40" s="404" t="s">
        <v>15</v>
      </c>
      <c r="I40" s="404" t="s">
        <v>1045</v>
      </c>
      <c r="J40" s="336" t="s">
        <v>1635</v>
      </c>
      <c r="K40" s="405" t="s">
        <v>866</v>
      </c>
      <c r="L40" s="336" t="s">
        <v>1054</v>
      </c>
      <c r="M40" s="336" t="s">
        <v>869</v>
      </c>
      <c r="N40" s="403"/>
      <c r="O40" s="336" t="s">
        <v>832</v>
      </c>
      <c r="P40" s="336" t="s">
        <v>800</v>
      </c>
      <c r="Q40" s="408">
        <v>320.02</v>
      </c>
      <c r="R40" s="408">
        <v>12.860000000000001</v>
      </c>
      <c r="S40" s="405" t="s">
        <v>15</v>
      </c>
      <c r="T40" s="405" t="s">
        <v>1645</v>
      </c>
      <c r="U40" s="403"/>
      <c r="V40" s="403"/>
      <c r="W40" s="403"/>
      <c r="X40" s="403"/>
      <c r="Y40" s="403"/>
      <c r="Z40" s="403"/>
      <c r="AA40" s="403"/>
      <c r="AB40" s="408">
        <v>320.02</v>
      </c>
    </row>
    <row r="41" spans="1:28" hidden="1" x14ac:dyDescent="0.3">
      <c r="A41" s="391">
        <f>SUMIF('kurzy ČNB'!A:A,'jb IFRS'!J41,'kurzy ČNB'!B:B)</f>
        <v>24.885000000000002</v>
      </c>
      <c r="B41" s="125">
        <f t="shared" si="4"/>
        <v>12.859955796664655</v>
      </c>
      <c r="C41" s="126">
        <f t="shared" si="5"/>
        <v>12.860000000000001</v>
      </c>
      <c r="D41" s="407" t="s">
        <v>832</v>
      </c>
      <c r="E41" s="404" t="s">
        <v>855</v>
      </c>
      <c r="F41" s="406">
        <v>320.02</v>
      </c>
      <c r="G41" s="406">
        <v>12.860000000000001</v>
      </c>
      <c r="H41" s="404" t="s">
        <v>15</v>
      </c>
      <c r="I41" s="404" t="s">
        <v>1045</v>
      </c>
      <c r="J41" s="336" t="s">
        <v>1635</v>
      </c>
      <c r="K41" s="405" t="s">
        <v>866</v>
      </c>
      <c r="L41" s="336" t="s">
        <v>1054</v>
      </c>
      <c r="M41" s="336" t="s">
        <v>869</v>
      </c>
      <c r="N41" s="403"/>
      <c r="O41" s="336" t="s">
        <v>832</v>
      </c>
      <c r="P41" s="336" t="s">
        <v>800</v>
      </c>
      <c r="Q41" s="408">
        <v>320.02</v>
      </c>
      <c r="R41" s="408">
        <v>12.860000000000001</v>
      </c>
      <c r="S41" s="405" t="s">
        <v>15</v>
      </c>
      <c r="T41" s="405" t="s">
        <v>1645</v>
      </c>
      <c r="U41" s="403"/>
      <c r="V41" s="403"/>
      <c r="W41" s="403"/>
      <c r="X41" s="403"/>
      <c r="Y41" s="403"/>
      <c r="Z41" s="403"/>
      <c r="AA41" s="408">
        <v>320.02</v>
      </c>
      <c r="AB41" s="403"/>
    </row>
    <row r="42" spans="1:28" hidden="1" x14ac:dyDescent="0.3">
      <c r="A42" s="391">
        <f>SUMIF('kurzy ČNB'!A:A,'jb IFRS'!J42,'kurzy ČNB'!B:B)</f>
        <v>24.98</v>
      </c>
      <c r="B42" s="125">
        <f t="shared" si="4"/>
        <v>-400.31665332265811</v>
      </c>
      <c r="C42" s="126">
        <f t="shared" si="5"/>
        <v>-413.44</v>
      </c>
      <c r="D42" s="407" t="s">
        <v>800</v>
      </c>
      <c r="E42" s="404" t="s">
        <v>853</v>
      </c>
      <c r="F42" s="406">
        <v>-9999.91</v>
      </c>
      <c r="G42" s="406">
        <v>-413.44</v>
      </c>
      <c r="H42" s="404" t="s">
        <v>15</v>
      </c>
      <c r="I42" s="404" t="s">
        <v>1055</v>
      </c>
      <c r="J42" s="336" t="s">
        <v>1648</v>
      </c>
      <c r="K42" s="405" t="s">
        <v>866</v>
      </c>
      <c r="L42" s="336" t="s">
        <v>875</v>
      </c>
      <c r="M42" s="336" t="s">
        <v>1649</v>
      </c>
      <c r="N42" s="336" t="s">
        <v>1486</v>
      </c>
      <c r="O42" s="336" t="s">
        <v>802</v>
      </c>
      <c r="P42" s="336" t="s">
        <v>800</v>
      </c>
      <c r="Q42" s="408">
        <v>9999.91</v>
      </c>
      <c r="R42" s="408">
        <v>413.44</v>
      </c>
      <c r="S42" s="405" t="s">
        <v>15</v>
      </c>
      <c r="T42" s="405" t="s">
        <v>1650</v>
      </c>
      <c r="U42" s="336" t="s">
        <v>1634</v>
      </c>
      <c r="V42" s="403"/>
      <c r="W42" s="403"/>
      <c r="X42" s="403"/>
      <c r="Y42" s="403"/>
      <c r="Z42" s="403"/>
      <c r="AA42" s="403"/>
      <c r="AB42" s="408">
        <v>9999.91</v>
      </c>
    </row>
    <row r="43" spans="1:28" hidden="1" x14ac:dyDescent="0.3">
      <c r="A43" s="391">
        <f>SUMIF('kurzy ČNB'!A:A,'jb IFRS'!J43,'kurzy ČNB'!B:B)</f>
        <v>24.98</v>
      </c>
      <c r="B43" s="125">
        <f t="shared" si="4"/>
        <v>400.31665332265811</v>
      </c>
      <c r="C43" s="126">
        <f t="shared" si="5"/>
        <v>413.44</v>
      </c>
      <c r="D43" s="407" t="s">
        <v>802</v>
      </c>
      <c r="E43" s="404" t="s">
        <v>855</v>
      </c>
      <c r="F43" s="406">
        <v>9999.91</v>
      </c>
      <c r="G43" s="406">
        <v>413.44</v>
      </c>
      <c r="H43" s="404" t="s">
        <v>15</v>
      </c>
      <c r="I43" s="404" t="s">
        <v>1055</v>
      </c>
      <c r="J43" s="336" t="s">
        <v>1648</v>
      </c>
      <c r="K43" s="405" t="s">
        <v>866</v>
      </c>
      <c r="L43" s="336" t="s">
        <v>875</v>
      </c>
      <c r="M43" s="336" t="s">
        <v>1649</v>
      </c>
      <c r="N43" s="336" t="s">
        <v>1486</v>
      </c>
      <c r="O43" s="336" t="s">
        <v>802</v>
      </c>
      <c r="P43" s="336" t="s">
        <v>800</v>
      </c>
      <c r="Q43" s="408">
        <v>9999.91</v>
      </c>
      <c r="R43" s="408">
        <v>413.44</v>
      </c>
      <c r="S43" s="405" t="s">
        <v>15</v>
      </c>
      <c r="T43" s="405" t="s">
        <v>1650</v>
      </c>
      <c r="U43" s="336" t="s">
        <v>1634</v>
      </c>
      <c r="V43" s="403"/>
      <c r="W43" s="403"/>
      <c r="X43" s="403"/>
      <c r="Y43" s="403"/>
      <c r="Z43" s="403"/>
      <c r="AA43" s="408">
        <v>9999.91</v>
      </c>
      <c r="AB43" s="403"/>
    </row>
    <row r="44" spans="1:28" hidden="1" x14ac:dyDescent="0.3">
      <c r="A44" s="391">
        <f>SUMIF('kurzy ČNB'!A:A,'jb IFRS'!J44,'kurzy ČNB'!B:B)</f>
        <v>25.414999999999999</v>
      </c>
      <c r="B44" s="125">
        <f t="shared" si="4"/>
        <v>-0.24001573873696636</v>
      </c>
      <c r="C44" s="126">
        <f t="shared" si="5"/>
        <v>-0.24000000000000002</v>
      </c>
      <c r="D44" s="407" t="s">
        <v>800</v>
      </c>
      <c r="E44" s="404" t="s">
        <v>853</v>
      </c>
      <c r="F44" s="406">
        <v>-6.1</v>
      </c>
      <c r="G44" s="406">
        <v>-0.24000000000000002</v>
      </c>
      <c r="H44" s="404" t="s">
        <v>15</v>
      </c>
      <c r="I44" s="404" t="s">
        <v>1055</v>
      </c>
      <c r="J44" s="336" t="s">
        <v>1651</v>
      </c>
      <c r="K44" s="405" t="s">
        <v>866</v>
      </c>
      <c r="L44" s="336" t="s">
        <v>876</v>
      </c>
      <c r="M44" s="336" t="s">
        <v>869</v>
      </c>
      <c r="N44" s="403"/>
      <c r="O44" s="336" t="s">
        <v>832</v>
      </c>
      <c r="P44" s="336" t="s">
        <v>800</v>
      </c>
      <c r="Q44" s="408">
        <v>6.1</v>
      </c>
      <c r="R44" s="408">
        <v>0.24000000000000002</v>
      </c>
      <c r="S44" s="405" t="s">
        <v>15</v>
      </c>
      <c r="T44" s="405" t="s">
        <v>1652</v>
      </c>
      <c r="U44" s="403"/>
      <c r="V44" s="403"/>
      <c r="W44" s="403"/>
      <c r="X44" s="403"/>
      <c r="Y44" s="403"/>
      <c r="Z44" s="403"/>
      <c r="AA44" s="403"/>
      <c r="AB44" s="408">
        <v>6.1</v>
      </c>
    </row>
    <row r="45" spans="1:28" hidden="1" x14ac:dyDescent="0.3">
      <c r="A45" s="391">
        <f>SUMIF('kurzy ČNB'!A:A,'jb IFRS'!J45,'kurzy ČNB'!B:B)</f>
        <v>25.414999999999999</v>
      </c>
      <c r="B45" s="125">
        <f t="shared" si="4"/>
        <v>0.24001573873696636</v>
      </c>
      <c r="C45" s="126">
        <f t="shared" si="5"/>
        <v>0.24000000000000002</v>
      </c>
      <c r="D45" s="407" t="s">
        <v>832</v>
      </c>
      <c r="E45" s="404" t="s">
        <v>855</v>
      </c>
      <c r="F45" s="406">
        <v>6.1</v>
      </c>
      <c r="G45" s="406">
        <v>0.24000000000000002</v>
      </c>
      <c r="H45" s="404" t="s">
        <v>15</v>
      </c>
      <c r="I45" s="404" t="s">
        <v>1055</v>
      </c>
      <c r="J45" s="336" t="s">
        <v>1651</v>
      </c>
      <c r="K45" s="405" t="s">
        <v>866</v>
      </c>
      <c r="L45" s="336" t="s">
        <v>876</v>
      </c>
      <c r="M45" s="336" t="s">
        <v>869</v>
      </c>
      <c r="N45" s="403"/>
      <c r="O45" s="336" t="s">
        <v>832</v>
      </c>
      <c r="P45" s="336" t="s">
        <v>800</v>
      </c>
      <c r="Q45" s="408">
        <v>6.1</v>
      </c>
      <c r="R45" s="408">
        <v>0.24000000000000002</v>
      </c>
      <c r="S45" s="405" t="s">
        <v>15</v>
      </c>
      <c r="T45" s="405" t="s">
        <v>1652</v>
      </c>
      <c r="U45" s="403"/>
      <c r="V45" s="403"/>
      <c r="W45" s="403"/>
      <c r="X45" s="403"/>
      <c r="Y45" s="403"/>
      <c r="Z45" s="403"/>
      <c r="AA45" s="408">
        <v>6.1</v>
      </c>
      <c r="AB45" s="403"/>
    </row>
    <row r="46" spans="1:28" hidden="1" x14ac:dyDescent="0.3">
      <c r="A46" s="391">
        <f>SUMIF('kurzy ČNB'!A:A,'jb IFRS'!J46,'kurzy ČNB'!B:B)</f>
        <v>25.414999999999999</v>
      </c>
      <c r="B46" s="125">
        <f t="shared" si="4"/>
        <v>-566.28014951800117</v>
      </c>
      <c r="C46" s="126">
        <f t="shared" si="5"/>
        <v>-566.28000000000009</v>
      </c>
      <c r="D46" s="407" t="s">
        <v>800</v>
      </c>
      <c r="E46" s="404" t="s">
        <v>853</v>
      </c>
      <c r="F46" s="406">
        <v>-14392.01</v>
      </c>
      <c r="G46" s="406">
        <v>-566.28000000000009</v>
      </c>
      <c r="H46" s="404" t="s">
        <v>15</v>
      </c>
      <c r="I46" s="404" t="s">
        <v>1055</v>
      </c>
      <c r="J46" s="336" t="s">
        <v>1651</v>
      </c>
      <c r="K46" s="405" t="s">
        <v>866</v>
      </c>
      <c r="L46" s="336" t="s">
        <v>878</v>
      </c>
      <c r="M46" s="336" t="s">
        <v>1653</v>
      </c>
      <c r="N46" s="336" t="s">
        <v>1483</v>
      </c>
      <c r="O46" s="336" t="s">
        <v>802</v>
      </c>
      <c r="P46" s="336" t="s">
        <v>800</v>
      </c>
      <c r="Q46" s="408">
        <v>14392.01</v>
      </c>
      <c r="R46" s="408">
        <v>566.28000000000009</v>
      </c>
      <c r="S46" s="405" t="s">
        <v>15</v>
      </c>
      <c r="T46" s="405" t="s">
        <v>1652</v>
      </c>
      <c r="U46" s="336" t="s">
        <v>1639</v>
      </c>
      <c r="V46" s="403"/>
      <c r="W46" s="403"/>
      <c r="X46" s="403"/>
      <c r="Y46" s="403"/>
      <c r="Z46" s="403"/>
      <c r="AA46" s="403"/>
      <c r="AB46" s="408">
        <v>14392.01</v>
      </c>
    </row>
    <row r="47" spans="1:28" hidden="1" x14ac:dyDescent="0.3">
      <c r="A47" s="391">
        <f>SUMIF('kurzy ČNB'!A:A,'jb IFRS'!J47,'kurzy ČNB'!B:B)</f>
        <v>25.414999999999999</v>
      </c>
      <c r="B47" s="125">
        <f t="shared" si="4"/>
        <v>566.28014951800117</v>
      </c>
      <c r="C47" s="126">
        <f t="shared" si="5"/>
        <v>566.28000000000009</v>
      </c>
      <c r="D47" s="407" t="s">
        <v>802</v>
      </c>
      <c r="E47" s="404" t="s">
        <v>855</v>
      </c>
      <c r="F47" s="406">
        <v>14392.01</v>
      </c>
      <c r="G47" s="406">
        <v>566.28000000000009</v>
      </c>
      <c r="H47" s="404" t="s">
        <v>15</v>
      </c>
      <c r="I47" s="404" t="s">
        <v>1055</v>
      </c>
      <c r="J47" s="336" t="s">
        <v>1651</v>
      </c>
      <c r="K47" s="405" t="s">
        <v>866</v>
      </c>
      <c r="L47" s="336" t="s">
        <v>878</v>
      </c>
      <c r="M47" s="336" t="s">
        <v>1653</v>
      </c>
      <c r="N47" s="336" t="s">
        <v>1483</v>
      </c>
      <c r="O47" s="336" t="s">
        <v>802</v>
      </c>
      <c r="P47" s="336" t="s">
        <v>800</v>
      </c>
      <c r="Q47" s="408">
        <v>14392.01</v>
      </c>
      <c r="R47" s="408">
        <v>566.28000000000009</v>
      </c>
      <c r="S47" s="405" t="s">
        <v>15</v>
      </c>
      <c r="T47" s="405" t="s">
        <v>1652</v>
      </c>
      <c r="U47" s="336" t="s">
        <v>1639</v>
      </c>
      <c r="V47" s="403"/>
      <c r="W47" s="403"/>
      <c r="X47" s="403"/>
      <c r="Y47" s="403"/>
      <c r="Z47" s="403"/>
      <c r="AA47" s="408">
        <v>14392.01</v>
      </c>
      <c r="AB47" s="403"/>
    </row>
    <row r="48" spans="1:28" hidden="1" x14ac:dyDescent="0.3">
      <c r="A48" s="391">
        <f>SUMIF('kurzy ČNB'!A:A,'jb IFRS'!J48,'kurzy ČNB'!B:B)</f>
        <v>25.414999999999999</v>
      </c>
      <c r="B48" s="125">
        <f t="shared" si="4"/>
        <v>-12.031870942356875</v>
      </c>
      <c r="C48" s="126">
        <f t="shared" si="5"/>
        <v>0</v>
      </c>
      <c r="D48" s="407" t="s">
        <v>802</v>
      </c>
      <c r="E48" s="404" t="s">
        <v>853</v>
      </c>
      <c r="F48" s="406">
        <v>-305.78999999999996</v>
      </c>
      <c r="G48" s="406">
        <v>0</v>
      </c>
      <c r="H48" s="404" t="s">
        <v>15</v>
      </c>
      <c r="I48" s="404" t="s">
        <v>1055</v>
      </c>
      <c r="J48" s="336" t="s">
        <v>1651</v>
      </c>
      <c r="K48" s="405" t="s">
        <v>866</v>
      </c>
      <c r="L48" s="336" t="s">
        <v>878</v>
      </c>
      <c r="M48" s="336" t="s">
        <v>1112</v>
      </c>
      <c r="N48" s="336" t="s">
        <v>1483</v>
      </c>
      <c r="O48" s="336" t="s">
        <v>830</v>
      </c>
      <c r="P48" s="336" t="s">
        <v>802</v>
      </c>
      <c r="Q48" s="408">
        <v>305.78999999999996</v>
      </c>
      <c r="R48" s="408">
        <v>0</v>
      </c>
      <c r="S48" s="405" t="s">
        <v>15</v>
      </c>
      <c r="T48" s="405" t="s">
        <v>1652</v>
      </c>
      <c r="U48" s="336" t="s">
        <v>1639</v>
      </c>
      <c r="V48" s="403"/>
      <c r="W48" s="403"/>
      <c r="X48" s="403"/>
      <c r="Y48" s="403"/>
      <c r="Z48" s="403"/>
      <c r="AA48" s="403"/>
      <c r="AB48" s="408">
        <v>305.78999999999996</v>
      </c>
    </row>
    <row r="49" spans="1:28" hidden="1" x14ac:dyDescent="0.3">
      <c r="A49" s="391">
        <f>SUMIF('kurzy ČNB'!A:A,'jb IFRS'!J49,'kurzy ČNB'!B:B)</f>
        <v>25.414999999999999</v>
      </c>
      <c r="B49" s="125">
        <f t="shared" si="4"/>
        <v>12.031870942356875</v>
      </c>
      <c r="C49" s="126">
        <f t="shared" si="5"/>
        <v>0</v>
      </c>
      <c r="D49" s="407" t="s">
        <v>830</v>
      </c>
      <c r="E49" s="404" t="s">
        <v>855</v>
      </c>
      <c r="F49" s="406">
        <v>305.78999999999996</v>
      </c>
      <c r="G49" s="406">
        <v>0</v>
      </c>
      <c r="H49" s="404" t="s">
        <v>15</v>
      </c>
      <c r="I49" s="404" t="s">
        <v>1055</v>
      </c>
      <c r="J49" s="336" t="s">
        <v>1651</v>
      </c>
      <c r="K49" s="405" t="s">
        <v>866</v>
      </c>
      <c r="L49" s="336" t="s">
        <v>878</v>
      </c>
      <c r="M49" s="336" t="s">
        <v>1112</v>
      </c>
      <c r="N49" s="336" t="s">
        <v>1483</v>
      </c>
      <c r="O49" s="336" t="s">
        <v>830</v>
      </c>
      <c r="P49" s="336" t="s">
        <v>802</v>
      </c>
      <c r="Q49" s="408">
        <v>305.78999999999996</v>
      </c>
      <c r="R49" s="408">
        <v>0</v>
      </c>
      <c r="S49" s="405" t="s">
        <v>15</v>
      </c>
      <c r="T49" s="405" t="s">
        <v>1652</v>
      </c>
      <c r="U49" s="336" t="s">
        <v>1639</v>
      </c>
      <c r="V49" s="403"/>
      <c r="W49" s="403"/>
      <c r="X49" s="403"/>
      <c r="Y49" s="403"/>
      <c r="Z49" s="403"/>
      <c r="AA49" s="408">
        <v>305.78999999999996</v>
      </c>
      <c r="AB49" s="403"/>
    </row>
    <row r="50" spans="1:28" hidden="1" x14ac:dyDescent="0.3">
      <c r="A50" s="391">
        <f>SUMIF('kurzy ČNB'!A:A,'jb IFRS'!J50,'kurzy ČNB'!B:B)</f>
        <v>25.35</v>
      </c>
      <c r="B50" s="125">
        <f t="shared" si="4"/>
        <v>-273.02564102564099</v>
      </c>
      <c r="C50" s="126">
        <f t="shared" si="5"/>
        <v>-281.41999999999996</v>
      </c>
      <c r="D50" s="407" t="s">
        <v>800</v>
      </c>
      <c r="E50" s="404" t="s">
        <v>853</v>
      </c>
      <c r="F50" s="406">
        <v>-6921.2</v>
      </c>
      <c r="G50" s="406">
        <v>-281.41999999999996</v>
      </c>
      <c r="H50" s="404" t="s">
        <v>15</v>
      </c>
      <c r="I50" s="404" t="s">
        <v>1055</v>
      </c>
      <c r="J50" s="336" t="s">
        <v>1654</v>
      </c>
      <c r="K50" s="405" t="s">
        <v>866</v>
      </c>
      <c r="L50" s="336" t="s">
        <v>879</v>
      </c>
      <c r="M50" s="336" t="s">
        <v>1655</v>
      </c>
      <c r="N50" s="336" t="s">
        <v>1483</v>
      </c>
      <c r="O50" s="336" t="s">
        <v>802</v>
      </c>
      <c r="P50" s="336" t="s">
        <v>800</v>
      </c>
      <c r="Q50" s="408">
        <v>6921.2</v>
      </c>
      <c r="R50" s="408">
        <v>281.41999999999996</v>
      </c>
      <c r="S50" s="405" t="s">
        <v>15</v>
      </c>
      <c r="T50" s="405" t="s">
        <v>1656</v>
      </c>
      <c r="U50" s="336" t="s">
        <v>1642</v>
      </c>
      <c r="V50" s="403"/>
      <c r="W50" s="403"/>
      <c r="X50" s="403"/>
      <c r="Y50" s="403"/>
      <c r="Z50" s="403"/>
      <c r="AA50" s="403"/>
      <c r="AB50" s="408">
        <v>6921.2</v>
      </c>
    </row>
    <row r="51" spans="1:28" hidden="1" x14ac:dyDescent="0.3">
      <c r="A51" s="391">
        <f>SUMIF('kurzy ČNB'!A:A,'jb IFRS'!J51,'kurzy ČNB'!B:B)</f>
        <v>25.35</v>
      </c>
      <c r="B51" s="125">
        <f t="shared" si="4"/>
        <v>273.02564102564099</v>
      </c>
      <c r="C51" s="126">
        <f t="shared" si="5"/>
        <v>281.41999999999996</v>
      </c>
      <c r="D51" s="407" t="s">
        <v>802</v>
      </c>
      <c r="E51" s="404" t="s">
        <v>855</v>
      </c>
      <c r="F51" s="406">
        <v>6921.2</v>
      </c>
      <c r="G51" s="406">
        <v>281.41999999999996</v>
      </c>
      <c r="H51" s="404" t="s">
        <v>15</v>
      </c>
      <c r="I51" s="404" t="s">
        <v>1055</v>
      </c>
      <c r="J51" s="336" t="s">
        <v>1654</v>
      </c>
      <c r="K51" s="405" t="s">
        <v>866</v>
      </c>
      <c r="L51" s="336" t="s">
        <v>879</v>
      </c>
      <c r="M51" s="336" t="s">
        <v>1655</v>
      </c>
      <c r="N51" s="336" t="s">
        <v>1483</v>
      </c>
      <c r="O51" s="336" t="s">
        <v>802</v>
      </c>
      <c r="P51" s="336" t="s">
        <v>800</v>
      </c>
      <c r="Q51" s="408">
        <v>6921.2</v>
      </c>
      <c r="R51" s="408">
        <v>281.41999999999996</v>
      </c>
      <c r="S51" s="405" t="s">
        <v>15</v>
      </c>
      <c r="T51" s="405" t="s">
        <v>1656</v>
      </c>
      <c r="U51" s="336" t="s">
        <v>1642</v>
      </c>
      <c r="V51" s="403"/>
      <c r="W51" s="403"/>
      <c r="X51" s="403"/>
      <c r="Y51" s="403"/>
      <c r="Z51" s="403"/>
      <c r="AA51" s="408">
        <v>6921.2</v>
      </c>
      <c r="AB51" s="403"/>
    </row>
    <row r="52" spans="1:28" hidden="1" x14ac:dyDescent="0.3">
      <c r="A52" s="391">
        <f>SUMIF('kurzy ČNB'!A:A,'jb IFRS'!J52,'kurzy ČNB'!B:B)</f>
        <v>25.36</v>
      </c>
      <c r="B52" s="125">
        <f t="shared" si="4"/>
        <v>-272.91798107255522</v>
      </c>
      <c r="C52" s="126">
        <f t="shared" si="5"/>
        <v>-272.91798107255522</v>
      </c>
      <c r="D52" s="407" t="s">
        <v>802</v>
      </c>
      <c r="E52" s="404" t="s">
        <v>853</v>
      </c>
      <c r="F52" s="406">
        <v>-6921.2</v>
      </c>
      <c r="G52" s="406">
        <v>0</v>
      </c>
      <c r="H52" s="403"/>
      <c r="I52" s="404" t="s">
        <v>1055</v>
      </c>
      <c r="J52" s="336" t="s">
        <v>1657</v>
      </c>
      <c r="K52" s="405" t="s">
        <v>856</v>
      </c>
      <c r="L52" s="336" t="s">
        <v>1658</v>
      </c>
      <c r="M52" s="336" t="s">
        <v>1659</v>
      </c>
      <c r="N52" s="336" t="s">
        <v>1483</v>
      </c>
      <c r="O52" s="336" t="s">
        <v>826</v>
      </c>
      <c r="P52" s="336" t="s">
        <v>802</v>
      </c>
      <c r="Q52" s="408">
        <v>6921.2</v>
      </c>
      <c r="R52" s="408">
        <v>0</v>
      </c>
      <c r="S52" s="403"/>
      <c r="T52" s="403"/>
      <c r="U52" s="336" t="s">
        <v>1660</v>
      </c>
      <c r="V52" s="403"/>
      <c r="W52" s="403"/>
      <c r="X52" s="403"/>
      <c r="Y52" s="403"/>
      <c r="Z52" s="403"/>
      <c r="AA52" s="403"/>
      <c r="AB52" s="408">
        <v>6921.2</v>
      </c>
    </row>
    <row r="53" spans="1:28" hidden="1" x14ac:dyDescent="0.3">
      <c r="A53" s="391">
        <f>SUMIF('kurzy ČNB'!A:A,'jb IFRS'!J53,'kurzy ČNB'!B:B)</f>
        <v>25.36</v>
      </c>
      <c r="B53" s="125">
        <f t="shared" si="4"/>
        <v>272.91798107255522</v>
      </c>
      <c r="C53" s="126">
        <f t="shared" si="5"/>
        <v>272.91798107255522</v>
      </c>
      <c r="D53" s="407" t="s">
        <v>826</v>
      </c>
      <c r="E53" s="404" t="s">
        <v>855</v>
      </c>
      <c r="F53" s="406">
        <v>6921.2</v>
      </c>
      <c r="G53" s="406">
        <v>0</v>
      </c>
      <c r="H53" s="403"/>
      <c r="I53" s="404" t="s">
        <v>1055</v>
      </c>
      <c r="J53" s="336" t="s">
        <v>1657</v>
      </c>
      <c r="K53" s="405" t="s">
        <v>856</v>
      </c>
      <c r="L53" s="336" t="s">
        <v>1658</v>
      </c>
      <c r="M53" s="336" t="s">
        <v>1659</v>
      </c>
      <c r="N53" s="336" t="s">
        <v>1483</v>
      </c>
      <c r="O53" s="336" t="s">
        <v>826</v>
      </c>
      <c r="P53" s="336" t="s">
        <v>802</v>
      </c>
      <c r="Q53" s="408">
        <v>6921.2</v>
      </c>
      <c r="R53" s="408">
        <v>0</v>
      </c>
      <c r="S53" s="403"/>
      <c r="T53" s="403"/>
      <c r="U53" s="336" t="s">
        <v>1660</v>
      </c>
      <c r="V53" s="403"/>
      <c r="W53" s="403"/>
      <c r="X53" s="403"/>
      <c r="Y53" s="403"/>
      <c r="Z53" s="403"/>
      <c r="AA53" s="408">
        <v>6921.2</v>
      </c>
      <c r="AB53" s="403"/>
    </row>
    <row r="54" spans="1:28" hidden="1" x14ac:dyDescent="0.3">
      <c r="A54" s="391">
        <f>SUMIF('kurzy ČNB'!A:A,'jb IFRS'!J54,'kurzy ČNB'!B:B)</f>
        <v>25.36</v>
      </c>
      <c r="B54" s="125">
        <f t="shared" si="4"/>
        <v>-113136.25985804416</v>
      </c>
      <c r="C54" s="126">
        <f t="shared" si="5"/>
        <v>-113136.26</v>
      </c>
      <c r="D54" s="407" t="s">
        <v>834</v>
      </c>
      <c r="E54" s="404" t="s">
        <v>853</v>
      </c>
      <c r="F54" s="406">
        <v>-2869135.55</v>
      </c>
      <c r="G54" s="406">
        <v>-113136.26</v>
      </c>
      <c r="H54" s="404" t="s">
        <v>15</v>
      </c>
      <c r="I54" s="404" t="s">
        <v>1055</v>
      </c>
      <c r="J54" s="336" t="s">
        <v>1657</v>
      </c>
      <c r="K54" s="405" t="s">
        <v>865</v>
      </c>
      <c r="L54" s="336" t="s">
        <v>1661</v>
      </c>
      <c r="M54" s="336" t="s">
        <v>1662</v>
      </c>
      <c r="N54" s="403"/>
      <c r="O54" s="336" t="s">
        <v>772</v>
      </c>
      <c r="P54" s="336" t="s">
        <v>834</v>
      </c>
      <c r="Q54" s="408">
        <v>2869135.55</v>
      </c>
      <c r="R54" s="408">
        <v>113136.26</v>
      </c>
      <c r="S54" s="405" t="s">
        <v>15</v>
      </c>
      <c r="T54" s="405" t="s">
        <v>1663</v>
      </c>
      <c r="U54" s="336" t="s">
        <v>1518</v>
      </c>
      <c r="V54" s="403"/>
      <c r="W54" s="403"/>
      <c r="X54" s="403"/>
      <c r="Y54" s="403"/>
      <c r="Z54" s="403"/>
      <c r="AA54" s="403"/>
      <c r="AB54" s="408">
        <v>2869135.55</v>
      </c>
    </row>
    <row r="55" spans="1:28" hidden="1" x14ac:dyDescent="0.3">
      <c r="A55" s="391">
        <f>SUMIF('kurzy ČNB'!A:A,'jb IFRS'!J55,'kurzy ČNB'!B:B)</f>
        <v>25.36</v>
      </c>
      <c r="B55" s="125">
        <f t="shared" si="4"/>
        <v>113136.25985804416</v>
      </c>
      <c r="C55" s="126">
        <f t="shared" si="5"/>
        <v>113136.26</v>
      </c>
      <c r="D55" s="407" t="s">
        <v>772</v>
      </c>
      <c r="E55" s="404" t="s">
        <v>855</v>
      </c>
      <c r="F55" s="406">
        <v>2869135.55</v>
      </c>
      <c r="G55" s="406">
        <v>113136.26</v>
      </c>
      <c r="H55" s="404" t="s">
        <v>15</v>
      </c>
      <c r="I55" s="404" t="s">
        <v>1055</v>
      </c>
      <c r="J55" s="336" t="s">
        <v>1657</v>
      </c>
      <c r="K55" s="405" t="s">
        <v>865</v>
      </c>
      <c r="L55" s="336" t="s">
        <v>1661</v>
      </c>
      <c r="M55" s="336" t="s">
        <v>1662</v>
      </c>
      <c r="N55" s="403"/>
      <c r="O55" s="336" t="s">
        <v>772</v>
      </c>
      <c r="P55" s="336" t="s">
        <v>834</v>
      </c>
      <c r="Q55" s="408">
        <v>2869135.55</v>
      </c>
      <c r="R55" s="408">
        <v>113136.26</v>
      </c>
      <c r="S55" s="405" t="s">
        <v>15</v>
      </c>
      <c r="T55" s="405" t="s">
        <v>1663</v>
      </c>
      <c r="U55" s="336" t="s">
        <v>1518</v>
      </c>
      <c r="V55" s="403"/>
      <c r="W55" s="403"/>
      <c r="X55" s="403"/>
      <c r="Y55" s="403"/>
      <c r="Z55" s="403"/>
      <c r="AA55" s="408">
        <v>2869135.55</v>
      </c>
      <c r="AB55" s="403"/>
    </row>
    <row r="56" spans="1:28" hidden="1" x14ac:dyDescent="0.3">
      <c r="A56" s="391">
        <f>SUMIF('kurzy ČNB'!A:A,'jb IFRS'!J56,'kurzy ČNB'!B:B)</f>
        <v>25.36</v>
      </c>
      <c r="B56" s="125">
        <f t="shared" si="4"/>
        <v>-110093.32018927445</v>
      </c>
      <c r="C56" s="126">
        <f t="shared" si="5"/>
        <v>-110093.32</v>
      </c>
      <c r="D56" s="407" t="s">
        <v>818</v>
      </c>
      <c r="E56" s="404" t="s">
        <v>853</v>
      </c>
      <c r="F56" s="406">
        <v>-2791966.6</v>
      </c>
      <c r="G56" s="406">
        <v>-110093.32</v>
      </c>
      <c r="H56" s="404" t="s">
        <v>15</v>
      </c>
      <c r="I56" s="404" t="s">
        <v>1055</v>
      </c>
      <c r="J56" s="336" t="s">
        <v>1657</v>
      </c>
      <c r="K56" s="405" t="s">
        <v>865</v>
      </c>
      <c r="L56" s="336" t="s">
        <v>1664</v>
      </c>
      <c r="M56" s="336" t="s">
        <v>1665</v>
      </c>
      <c r="N56" s="403"/>
      <c r="O56" s="336" t="s">
        <v>828</v>
      </c>
      <c r="P56" s="336" t="s">
        <v>818</v>
      </c>
      <c r="Q56" s="408">
        <v>2791966.6</v>
      </c>
      <c r="R56" s="408">
        <v>110093.32</v>
      </c>
      <c r="S56" s="405" t="s">
        <v>15</v>
      </c>
      <c r="T56" s="405" t="s">
        <v>1663</v>
      </c>
      <c r="U56" s="336" t="s">
        <v>1517</v>
      </c>
      <c r="V56" s="403"/>
      <c r="W56" s="403"/>
      <c r="X56" s="403"/>
      <c r="Y56" s="403"/>
      <c r="Z56" s="403"/>
      <c r="AA56" s="403"/>
      <c r="AB56" s="408">
        <v>2791966.6</v>
      </c>
    </row>
    <row r="57" spans="1:28" hidden="1" x14ac:dyDescent="0.3">
      <c r="A57" s="391">
        <f>SUMIF('kurzy ČNB'!A:A,'jb IFRS'!J57,'kurzy ČNB'!B:B)</f>
        <v>25.36</v>
      </c>
      <c r="B57" s="125">
        <f t="shared" si="4"/>
        <v>110093.32018927445</v>
      </c>
      <c r="C57" s="126">
        <f t="shared" si="5"/>
        <v>110093.32</v>
      </c>
      <c r="D57" s="407" t="s">
        <v>828</v>
      </c>
      <c r="E57" s="404" t="s">
        <v>855</v>
      </c>
      <c r="F57" s="406">
        <v>2791966.6</v>
      </c>
      <c r="G57" s="406">
        <v>110093.32</v>
      </c>
      <c r="H57" s="404" t="s">
        <v>15</v>
      </c>
      <c r="I57" s="404" t="s">
        <v>1055</v>
      </c>
      <c r="J57" s="336" t="s">
        <v>1657</v>
      </c>
      <c r="K57" s="405" t="s">
        <v>865</v>
      </c>
      <c r="L57" s="336" t="s">
        <v>1664</v>
      </c>
      <c r="M57" s="336" t="s">
        <v>1665</v>
      </c>
      <c r="N57" s="403"/>
      <c r="O57" s="336" t="s">
        <v>828</v>
      </c>
      <c r="P57" s="336" t="s">
        <v>818</v>
      </c>
      <c r="Q57" s="408">
        <v>2791966.6</v>
      </c>
      <c r="R57" s="408">
        <v>110093.32</v>
      </c>
      <c r="S57" s="405" t="s">
        <v>15</v>
      </c>
      <c r="T57" s="405" t="s">
        <v>1663</v>
      </c>
      <c r="U57" s="336" t="s">
        <v>1517</v>
      </c>
      <c r="V57" s="403"/>
      <c r="W57" s="403"/>
      <c r="X57" s="403"/>
      <c r="Y57" s="403"/>
      <c r="Z57" s="403"/>
      <c r="AA57" s="408">
        <v>2791966.6</v>
      </c>
      <c r="AB57" s="403"/>
    </row>
    <row r="58" spans="1:28" hidden="1" x14ac:dyDescent="0.3">
      <c r="A58" s="391">
        <f>SUMIF('kurzy ČNB'!A:A,'jb IFRS'!J58,'kurzy ČNB'!B:B)</f>
        <v>25.36</v>
      </c>
      <c r="B58" s="125">
        <f t="shared" si="4"/>
        <v>-0.47003154574132494</v>
      </c>
      <c r="C58" s="126">
        <f t="shared" si="5"/>
        <v>-0.47000000000000003</v>
      </c>
      <c r="D58" s="407" t="s">
        <v>800</v>
      </c>
      <c r="E58" s="404" t="s">
        <v>853</v>
      </c>
      <c r="F58" s="406">
        <v>-11.92</v>
      </c>
      <c r="G58" s="406">
        <v>-0.47000000000000003</v>
      </c>
      <c r="H58" s="404" t="s">
        <v>15</v>
      </c>
      <c r="I58" s="404" t="s">
        <v>1055</v>
      </c>
      <c r="J58" s="336" t="s">
        <v>1657</v>
      </c>
      <c r="K58" s="405" t="s">
        <v>866</v>
      </c>
      <c r="L58" s="336" t="s">
        <v>880</v>
      </c>
      <c r="M58" s="336" t="s">
        <v>869</v>
      </c>
      <c r="N58" s="403"/>
      <c r="O58" s="336" t="s">
        <v>832</v>
      </c>
      <c r="P58" s="336" t="s">
        <v>800</v>
      </c>
      <c r="Q58" s="408">
        <v>11.92</v>
      </c>
      <c r="R58" s="408">
        <v>0.47000000000000003</v>
      </c>
      <c r="S58" s="405" t="s">
        <v>15</v>
      </c>
      <c r="T58" s="405" t="s">
        <v>1663</v>
      </c>
      <c r="U58" s="403"/>
      <c r="V58" s="403"/>
      <c r="W58" s="403"/>
      <c r="X58" s="403"/>
      <c r="Y58" s="403"/>
      <c r="Z58" s="403"/>
      <c r="AA58" s="403"/>
      <c r="AB58" s="408">
        <v>11.92</v>
      </c>
    </row>
    <row r="59" spans="1:28" hidden="1" x14ac:dyDescent="0.3">
      <c r="A59" s="391">
        <f>SUMIF('kurzy ČNB'!A:A,'jb IFRS'!J59,'kurzy ČNB'!B:B)</f>
        <v>25.36</v>
      </c>
      <c r="B59" s="125">
        <f t="shared" si="4"/>
        <v>0.47003154574132494</v>
      </c>
      <c r="C59" s="126">
        <f t="shared" si="5"/>
        <v>0.47000000000000003</v>
      </c>
      <c r="D59" s="407" t="s">
        <v>832</v>
      </c>
      <c r="E59" s="404" t="s">
        <v>855</v>
      </c>
      <c r="F59" s="406">
        <v>11.92</v>
      </c>
      <c r="G59" s="406">
        <v>0.47000000000000003</v>
      </c>
      <c r="H59" s="404" t="s">
        <v>15</v>
      </c>
      <c r="I59" s="404" t="s">
        <v>1055</v>
      </c>
      <c r="J59" s="336" t="s">
        <v>1657</v>
      </c>
      <c r="K59" s="405" t="s">
        <v>866</v>
      </c>
      <c r="L59" s="336" t="s">
        <v>880</v>
      </c>
      <c r="M59" s="336" t="s">
        <v>869</v>
      </c>
      <c r="N59" s="403"/>
      <c r="O59" s="336" t="s">
        <v>832</v>
      </c>
      <c r="P59" s="336" t="s">
        <v>800</v>
      </c>
      <c r="Q59" s="408">
        <v>11.92</v>
      </c>
      <c r="R59" s="408">
        <v>0.47000000000000003</v>
      </c>
      <c r="S59" s="405" t="s">
        <v>15</v>
      </c>
      <c r="T59" s="405" t="s">
        <v>1663</v>
      </c>
      <c r="U59" s="403"/>
      <c r="V59" s="403"/>
      <c r="W59" s="403"/>
      <c r="X59" s="403"/>
      <c r="Y59" s="403"/>
      <c r="Z59" s="403"/>
      <c r="AA59" s="408">
        <v>11.92</v>
      </c>
      <c r="AB59" s="403"/>
    </row>
    <row r="60" spans="1:28" hidden="1" x14ac:dyDescent="0.3">
      <c r="A60" s="391">
        <f>SUMIF('kurzy ČNB'!A:A,'jb IFRS'!J60,'kurzy ČNB'!B:B)</f>
        <v>25.36</v>
      </c>
      <c r="B60" s="125">
        <f t="shared" si="4"/>
        <v>-1.1798107255520505</v>
      </c>
      <c r="C60" s="126">
        <f t="shared" si="5"/>
        <v>-1.1800000000000002</v>
      </c>
      <c r="D60" s="407" t="s">
        <v>800</v>
      </c>
      <c r="E60" s="404" t="s">
        <v>853</v>
      </c>
      <c r="F60" s="406">
        <v>-29.919999999999998</v>
      </c>
      <c r="G60" s="406">
        <v>-1.1800000000000002</v>
      </c>
      <c r="H60" s="404" t="s">
        <v>15</v>
      </c>
      <c r="I60" s="404" t="s">
        <v>1055</v>
      </c>
      <c r="J60" s="336" t="s">
        <v>1657</v>
      </c>
      <c r="K60" s="405" t="s">
        <v>866</v>
      </c>
      <c r="L60" s="336" t="s">
        <v>882</v>
      </c>
      <c r="M60" s="336" t="s">
        <v>869</v>
      </c>
      <c r="N60" s="403"/>
      <c r="O60" s="336" t="s">
        <v>832</v>
      </c>
      <c r="P60" s="336" t="s">
        <v>800</v>
      </c>
      <c r="Q60" s="408">
        <v>29.919999999999998</v>
      </c>
      <c r="R60" s="408">
        <v>1.1800000000000002</v>
      </c>
      <c r="S60" s="405" t="s">
        <v>15</v>
      </c>
      <c r="T60" s="405" t="s">
        <v>1663</v>
      </c>
      <c r="U60" s="403"/>
      <c r="V60" s="403"/>
      <c r="W60" s="403"/>
      <c r="X60" s="403"/>
      <c r="Y60" s="403"/>
      <c r="Z60" s="403"/>
      <c r="AA60" s="403"/>
      <c r="AB60" s="408">
        <v>29.919999999999998</v>
      </c>
    </row>
    <row r="61" spans="1:28" hidden="1" x14ac:dyDescent="0.3">
      <c r="A61" s="391">
        <f>SUMIF('kurzy ČNB'!A:A,'jb IFRS'!J61,'kurzy ČNB'!B:B)</f>
        <v>25.36</v>
      </c>
      <c r="B61" s="125">
        <f t="shared" si="4"/>
        <v>1.1798107255520505</v>
      </c>
      <c r="C61" s="126">
        <f t="shared" si="5"/>
        <v>1.1800000000000002</v>
      </c>
      <c r="D61" s="407" t="s">
        <v>832</v>
      </c>
      <c r="E61" s="404" t="s">
        <v>855</v>
      </c>
      <c r="F61" s="406">
        <v>29.919999999999998</v>
      </c>
      <c r="G61" s="406">
        <v>1.1800000000000002</v>
      </c>
      <c r="H61" s="404" t="s">
        <v>15</v>
      </c>
      <c r="I61" s="404" t="s">
        <v>1055</v>
      </c>
      <c r="J61" s="336" t="s">
        <v>1657</v>
      </c>
      <c r="K61" s="405" t="s">
        <v>866</v>
      </c>
      <c r="L61" s="336" t="s">
        <v>882</v>
      </c>
      <c r="M61" s="336" t="s">
        <v>869</v>
      </c>
      <c r="N61" s="403"/>
      <c r="O61" s="336" t="s">
        <v>832</v>
      </c>
      <c r="P61" s="336" t="s">
        <v>800</v>
      </c>
      <c r="Q61" s="408">
        <v>29.919999999999998</v>
      </c>
      <c r="R61" s="408">
        <v>1.1800000000000002</v>
      </c>
      <c r="S61" s="405" t="s">
        <v>15</v>
      </c>
      <c r="T61" s="405" t="s">
        <v>1663</v>
      </c>
      <c r="U61" s="403"/>
      <c r="V61" s="403"/>
      <c r="W61" s="403"/>
      <c r="X61" s="403"/>
      <c r="Y61" s="403"/>
      <c r="Z61" s="403"/>
      <c r="AA61" s="408">
        <v>29.919999999999998</v>
      </c>
      <c r="AB61" s="403"/>
    </row>
    <row r="62" spans="1:28" hidden="1" x14ac:dyDescent="0.3">
      <c r="A62" s="391">
        <f>SUMIF('kurzy ČNB'!A:A,'jb IFRS'!J62,'kurzy ČNB'!B:B)</f>
        <v>25.36</v>
      </c>
      <c r="B62" s="125">
        <f t="shared" si="4"/>
        <v>-7.6999211356466875</v>
      </c>
      <c r="C62" s="126">
        <f t="shared" si="5"/>
        <v>-7.7</v>
      </c>
      <c r="D62" s="407" t="s">
        <v>800</v>
      </c>
      <c r="E62" s="404" t="s">
        <v>853</v>
      </c>
      <c r="F62" s="406">
        <v>-195.26999999999998</v>
      </c>
      <c r="G62" s="406">
        <v>-7.7</v>
      </c>
      <c r="H62" s="404" t="s">
        <v>15</v>
      </c>
      <c r="I62" s="404" t="s">
        <v>1055</v>
      </c>
      <c r="J62" s="336" t="s">
        <v>1657</v>
      </c>
      <c r="K62" s="405" t="s">
        <v>866</v>
      </c>
      <c r="L62" s="336" t="s">
        <v>883</v>
      </c>
      <c r="M62" s="336" t="s">
        <v>869</v>
      </c>
      <c r="N62" s="403"/>
      <c r="O62" s="336" t="s">
        <v>832</v>
      </c>
      <c r="P62" s="336" t="s">
        <v>800</v>
      </c>
      <c r="Q62" s="408">
        <v>195.26999999999998</v>
      </c>
      <c r="R62" s="408">
        <v>7.7</v>
      </c>
      <c r="S62" s="405" t="s">
        <v>15</v>
      </c>
      <c r="T62" s="405" t="s">
        <v>1663</v>
      </c>
      <c r="U62" s="403"/>
      <c r="V62" s="403"/>
      <c r="W62" s="403"/>
      <c r="X62" s="403"/>
      <c r="Y62" s="403"/>
      <c r="Z62" s="403"/>
      <c r="AA62" s="403"/>
      <c r="AB62" s="408">
        <v>195.26999999999998</v>
      </c>
    </row>
    <row r="63" spans="1:28" hidden="1" x14ac:dyDescent="0.3">
      <c r="A63" s="391">
        <f>SUMIF('kurzy ČNB'!A:A,'jb IFRS'!J63,'kurzy ČNB'!B:B)</f>
        <v>25.36</v>
      </c>
      <c r="B63" s="125">
        <f t="shared" si="4"/>
        <v>7.6999211356466875</v>
      </c>
      <c r="C63" s="126">
        <f t="shared" si="5"/>
        <v>7.7</v>
      </c>
      <c r="D63" s="407" t="s">
        <v>832</v>
      </c>
      <c r="E63" s="404" t="s">
        <v>855</v>
      </c>
      <c r="F63" s="406">
        <v>195.26999999999998</v>
      </c>
      <c r="G63" s="406">
        <v>7.7</v>
      </c>
      <c r="H63" s="404" t="s">
        <v>15</v>
      </c>
      <c r="I63" s="404" t="s">
        <v>1055</v>
      </c>
      <c r="J63" s="336" t="s">
        <v>1657</v>
      </c>
      <c r="K63" s="405" t="s">
        <v>866</v>
      </c>
      <c r="L63" s="336" t="s">
        <v>883</v>
      </c>
      <c r="M63" s="336" t="s">
        <v>869</v>
      </c>
      <c r="N63" s="403"/>
      <c r="O63" s="336" t="s">
        <v>832</v>
      </c>
      <c r="P63" s="336" t="s">
        <v>800</v>
      </c>
      <c r="Q63" s="408">
        <v>195.26999999999998</v>
      </c>
      <c r="R63" s="408">
        <v>7.7</v>
      </c>
      <c r="S63" s="405" t="s">
        <v>15</v>
      </c>
      <c r="T63" s="405" t="s">
        <v>1663</v>
      </c>
      <c r="U63" s="403"/>
      <c r="V63" s="403"/>
      <c r="W63" s="403"/>
      <c r="X63" s="403"/>
      <c r="Y63" s="403"/>
      <c r="Z63" s="403"/>
      <c r="AA63" s="408">
        <v>195.26999999999998</v>
      </c>
      <c r="AB63" s="403"/>
    </row>
    <row r="64" spans="1:28" hidden="1" x14ac:dyDescent="0.3">
      <c r="A64" s="391">
        <f>SUMIF('kurzy ČNB'!A:A,'jb IFRS'!J64,'kurzy ČNB'!B:B)</f>
        <v>25.36</v>
      </c>
      <c r="B64" s="125">
        <f t="shared" si="4"/>
        <v>-12.639984227129338</v>
      </c>
      <c r="C64" s="126">
        <f t="shared" si="5"/>
        <v>-12.639999999999999</v>
      </c>
      <c r="D64" s="407" t="s">
        <v>800</v>
      </c>
      <c r="E64" s="404" t="s">
        <v>853</v>
      </c>
      <c r="F64" s="406">
        <v>-320.55</v>
      </c>
      <c r="G64" s="406">
        <v>-12.639999999999999</v>
      </c>
      <c r="H64" s="404" t="s">
        <v>15</v>
      </c>
      <c r="I64" s="404" t="s">
        <v>1055</v>
      </c>
      <c r="J64" s="336" t="s">
        <v>1657</v>
      </c>
      <c r="K64" s="405" t="s">
        <v>866</v>
      </c>
      <c r="L64" s="336" t="s">
        <v>884</v>
      </c>
      <c r="M64" s="336" t="s">
        <v>869</v>
      </c>
      <c r="N64" s="403"/>
      <c r="O64" s="336" t="s">
        <v>832</v>
      </c>
      <c r="P64" s="336" t="s">
        <v>800</v>
      </c>
      <c r="Q64" s="408">
        <v>320.55</v>
      </c>
      <c r="R64" s="408">
        <v>12.639999999999999</v>
      </c>
      <c r="S64" s="405" t="s">
        <v>15</v>
      </c>
      <c r="T64" s="405" t="s">
        <v>1663</v>
      </c>
      <c r="U64" s="403"/>
      <c r="V64" s="403"/>
      <c r="W64" s="403"/>
      <c r="X64" s="403"/>
      <c r="Y64" s="403"/>
      <c r="Z64" s="403"/>
      <c r="AA64" s="403"/>
      <c r="AB64" s="408">
        <v>320.55</v>
      </c>
    </row>
    <row r="65" spans="1:28" hidden="1" x14ac:dyDescent="0.3">
      <c r="A65" s="391">
        <f>SUMIF('kurzy ČNB'!A:A,'jb IFRS'!J65,'kurzy ČNB'!B:B)</f>
        <v>25.36</v>
      </c>
      <c r="B65" s="125">
        <f t="shared" si="4"/>
        <v>12.639984227129338</v>
      </c>
      <c r="C65" s="126">
        <f t="shared" si="5"/>
        <v>12.639999999999999</v>
      </c>
      <c r="D65" s="407" t="s">
        <v>832</v>
      </c>
      <c r="E65" s="404" t="s">
        <v>855</v>
      </c>
      <c r="F65" s="406">
        <v>320.55</v>
      </c>
      <c r="G65" s="406">
        <v>12.639999999999999</v>
      </c>
      <c r="H65" s="404" t="s">
        <v>15</v>
      </c>
      <c r="I65" s="404" t="s">
        <v>1055</v>
      </c>
      <c r="J65" s="336" t="s">
        <v>1657</v>
      </c>
      <c r="K65" s="405" t="s">
        <v>866</v>
      </c>
      <c r="L65" s="336" t="s">
        <v>884</v>
      </c>
      <c r="M65" s="336" t="s">
        <v>869</v>
      </c>
      <c r="N65" s="403"/>
      <c r="O65" s="336" t="s">
        <v>832</v>
      </c>
      <c r="P65" s="336" t="s">
        <v>800</v>
      </c>
      <c r="Q65" s="408">
        <v>320.55</v>
      </c>
      <c r="R65" s="408">
        <v>12.639999999999999</v>
      </c>
      <c r="S65" s="405" t="s">
        <v>15</v>
      </c>
      <c r="T65" s="405" t="s">
        <v>1663</v>
      </c>
      <c r="U65" s="403"/>
      <c r="V65" s="403"/>
      <c r="W65" s="403"/>
      <c r="X65" s="403"/>
      <c r="Y65" s="403"/>
      <c r="Z65" s="403"/>
      <c r="AA65" s="408">
        <v>320.55</v>
      </c>
      <c r="AB65" s="403"/>
    </row>
    <row r="66" spans="1:28" hidden="1" x14ac:dyDescent="0.3">
      <c r="A66" s="391">
        <f>SUMIF('kurzy ČNB'!A:A,'jb IFRS'!J66,'kurzy ČNB'!B:B)</f>
        <v>25.27</v>
      </c>
      <c r="B66" s="125">
        <f t="shared" si="4"/>
        <v>-2779.5199841709536</v>
      </c>
      <c r="C66" s="126">
        <f t="shared" si="5"/>
        <v>-2779.52</v>
      </c>
      <c r="D66" s="407" t="s">
        <v>800</v>
      </c>
      <c r="E66" s="404" t="s">
        <v>853</v>
      </c>
      <c r="F66" s="406">
        <v>-70238.47</v>
      </c>
      <c r="G66" s="406">
        <v>-2779.52</v>
      </c>
      <c r="H66" s="404" t="s">
        <v>15</v>
      </c>
      <c r="I66" s="404" t="s">
        <v>1067</v>
      </c>
      <c r="J66" s="336" t="s">
        <v>1666</v>
      </c>
      <c r="K66" s="405" t="s">
        <v>866</v>
      </c>
      <c r="L66" s="336" t="s">
        <v>1069</v>
      </c>
      <c r="M66" s="336" t="s">
        <v>1667</v>
      </c>
      <c r="N66" s="403"/>
      <c r="O66" s="336" t="s">
        <v>1009</v>
      </c>
      <c r="P66" s="336" t="s">
        <v>800</v>
      </c>
      <c r="Q66" s="408">
        <v>70238.47</v>
      </c>
      <c r="R66" s="408">
        <v>2779.52</v>
      </c>
      <c r="S66" s="405" t="s">
        <v>15</v>
      </c>
      <c r="T66" s="405" t="s">
        <v>1668</v>
      </c>
      <c r="U66" s="336" t="s">
        <v>1074</v>
      </c>
      <c r="V66" s="403"/>
      <c r="W66" s="403"/>
      <c r="X66" s="403"/>
      <c r="Y66" s="403"/>
      <c r="Z66" s="403"/>
      <c r="AA66" s="403"/>
      <c r="AB66" s="408">
        <v>70238.47</v>
      </c>
    </row>
    <row r="67" spans="1:28" hidden="1" x14ac:dyDescent="0.3">
      <c r="A67" s="391">
        <f>SUMIF('kurzy ČNB'!A:A,'jb IFRS'!J67,'kurzy ČNB'!B:B)</f>
        <v>25.27</v>
      </c>
      <c r="B67" s="125">
        <f t="shared" si="4"/>
        <v>2779.5199841709536</v>
      </c>
      <c r="C67" s="126">
        <f t="shared" si="5"/>
        <v>2779.52</v>
      </c>
      <c r="D67" s="407" t="s">
        <v>1009</v>
      </c>
      <c r="E67" s="404" t="s">
        <v>855</v>
      </c>
      <c r="F67" s="406">
        <v>70238.47</v>
      </c>
      <c r="G67" s="406">
        <v>2779.52</v>
      </c>
      <c r="H67" s="404" t="s">
        <v>15</v>
      </c>
      <c r="I67" s="404" t="s">
        <v>1067</v>
      </c>
      <c r="J67" s="336" t="s">
        <v>1666</v>
      </c>
      <c r="K67" s="405" t="s">
        <v>866</v>
      </c>
      <c r="L67" s="336" t="s">
        <v>1069</v>
      </c>
      <c r="M67" s="336" t="s">
        <v>1667</v>
      </c>
      <c r="N67" s="403"/>
      <c r="O67" s="336" t="s">
        <v>1009</v>
      </c>
      <c r="P67" s="336" t="s">
        <v>800</v>
      </c>
      <c r="Q67" s="408">
        <v>70238.47</v>
      </c>
      <c r="R67" s="408">
        <v>2779.52</v>
      </c>
      <c r="S67" s="405" t="s">
        <v>15</v>
      </c>
      <c r="T67" s="405" t="s">
        <v>1668</v>
      </c>
      <c r="U67" s="336" t="s">
        <v>1074</v>
      </c>
      <c r="V67" s="403"/>
      <c r="W67" s="403"/>
      <c r="X67" s="403"/>
      <c r="Y67" s="403"/>
      <c r="Z67" s="403"/>
      <c r="AA67" s="408">
        <v>70238.47</v>
      </c>
      <c r="AB67" s="403"/>
    </row>
    <row r="68" spans="1:28" hidden="1" x14ac:dyDescent="0.3">
      <c r="A68" s="391">
        <f>SUMIF('kurzy ČNB'!A:A,'jb IFRS'!J68,'kurzy ČNB'!B:B)</f>
        <v>25.37</v>
      </c>
      <c r="B68" s="125">
        <f t="shared" si="4"/>
        <v>-272.81040599132831</v>
      </c>
      <c r="C68" s="126">
        <f t="shared" si="5"/>
        <v>-283.76</v>
      </c>
      <c r="D68" s="407" t="s">
        <v>800</v>
      </c>
      <c r="E68" s="404" t="s">
        <v>853</v>
      </c>
      <c r="F68" s="406">
        <v>-6921.2</v>
      </c>
      <c r="G68" s="406">
        <v>-283.76</v>
      </c>
      <c r="H68" s="404" t="s">
        <v>15</v>
      </c>
      <c r="I68" s="404" t="s">
        <v>1067</v>
      </c>
      <c r="J68" s="336" t="s">
        <v>1669</v>
      </c>
      <c r="K68" s="405" t="s">
        <v>866</v>
      </c>
      <c r="L68" s="336" t="s">
        <v>1071</v>
      </c>
      <c r="M68" s="336" t="s">
        <v>1670</v>
      </c>
      <c r="N68" s="336" t="s">
        <v>1483</v>
      </c>
      <c r="O68" s="336" t="s">
        <v>802</v>
      </c>
      <c r="P68" s="336" t="s">
        <v>800</v>
      </c>
      <c r="Q68" s="408">
        <v>6921.2</v>
      </c>
      <c r="R68" s="408">
        <v>283.76</v>
      </c>
      <c r="S68" s="405" t="s">
        <v>15</v>
      </c>
      <c r="T68" s="405" t="s">
        <v>1671</v>
      </c>
      <c r="U68" s="336" t="s">
        <v>1660</v>
      </c>
      <c r="V68" s="403"/>
      <c r="W68" s="403"/>
      <c r="X68" s="403"/>
      <c r="Y68" s="403"/>
      <c r="Z68" s="403"/>
      <c r="AA68" s="403"/>
      <c r="AB68" s="408">
        <v>6921.2</v>
      </c>
    </row>
    <row r="69" spans="1:28" hidden="1" x14ac:dyDescent="0.3">
      <c r="A69" s="391">
        <f>SUMIF('kurzy ČNB'!A:A,'jb IFRS'!J69,'kurzy ČNB'!B:B)</f>
        <v>25.37</v>
      </c>
      <c r="B69" s="125">
        <f t="shared" si="4"/>
        <v>272.81040599132831</v>
      </c>
      <c r="C69" s="126">
        <f t="shared" si="5"/>
        <v>283.76</v>
      </c>
      <c r="D69" s="407" t="s">
        <v>802</v>
      </c>
      <c r="E69" s="404" t="s">
        <v>855</v>
      </c>
      <c r="F69" s="406">
        <v>6921.2</v>
      </c>
      <c r="G69" s="406">
        <v>283.76</v>
      </c>
      <c r="H69" s="404" t="s">
        <v>15</v>
      </c>
      <c r="I69" s="404" t="s">
        <v>1067</v>
      </c>
      <c r="J69" s="336" t="s">
        <v>1669</v>
      </c>
      <c r="K69" s="405" t="s">
        <v>866</v>
      </c>
      <c r="L69" s="336" t="s">
        <v>1071</v>
      </c>
      <c r="M69" s="336" t="s">
        <v>1670</v>
      </c>
      <c r="N69" s="336" t="s">
        <v>1483</v>
      </c>
      <c r="O69" s="336" t="s">
        <v>802</v>
      </c>
      <c r="P69" s="336" t="s">
        <v>800</v>
      </c>
      <c r="Q69" s="408">
        <v>6921.2</v>
      </c>
      <c r="R69" s="408">
        <v>283.76</v>
      </c>
      <c r="S69" s="405" t="s">
        <v>15</v>
      </c>
      <c r="T69" s="405" t="s">
        <v>1671</v>
      </c>
      <c r="U69" s="336" t="s">
        <v>1660</v>
      </c>
      <c r="V69" s="403"/>
      <c r="W69" s="403"/>
      <c r="X69" s="403"/>
      <c r="Y69" s="403"/>
      <c r="Z69" s="403"/>
      <c r="AA69" s="408">
        <v>6921.2</v>
      </c>
      <c r="AB69" s="403"/>
    </row>
    <row r="70" spans="1:28" hidden="1" x14ac:dyDescent="0.3">
      <c r="A70" s="391">
        <f>SUMIF('kurzy ČNB'!A:A,'jb IFRS'!J70,'kurzy ČNB'!B:B)</f>
        <v>25.265000000000001</v>
      </c>
      <c r="B70" s="125">
        <f t="shared" si="4"/>
        <v>-11925.552345141501</v>
      </c>
      <c r="C70" s="126">
        <f t="shared" si="5"/>
        <v>-11925.552345141501</v>
      </c>
      <c r="D70" s="407" t="s">
        <v>802</v>
      </c>
      <c r="E70" s="404" t="s">
        <v>853</v>
      </c>
      <c r="F70" s="406">
        <v>-301299.08</v>
      </c>
      <c r="G70" s="406">
        <v>0</v>
      </c>
      <c r="H70" s="403"/>
      <c r="I70" s="404" t="s">
        <v>1067</v>
      </c>
      <c r="J70" s="336" t="s">
        <v>1672</v>
      </c>
      <c r="K70" s="405" t="s">
        <v>856</v>
      </c>
      <c r="L70" s="336" t="s">
        <v>1673</v>
      </c>
      <c r="M70" s="336" t="s">
        <v>1565</v>
      </c>
      <c r="N70" s="336" t="s">
        <v>1482</v>
      </c>
      <c r="O70" s="336" t="s">
        <v>1000</v>
      </c>
      <c r="P70" s="336" t="s">
        <v>802</v>
      </c>
      <c r="Q70" s="408">
        <v>301299.08</v>
      </c>
      <c r="R70" s="408">
        <v>0</v>
      </c>
      <c r="S70" s="403"/>
      <c r="T70" s="403"/>
      <c r="U70" s="336" t="s">
        <v>1674</v>
      </c>
      <c r="V70" s="403"/>
      <c r="W70" s="403"/>
      <c r="X70" s="403"/>
      <c r="Y70" s="403"/>
      <c r="Z70" s="403"/>
      <c r="AA70" s="403"/>
      <c r="AB70" s="408">
        <v>301299.08</v>
      </c>
    </row>
    <row r="71" spans="1:28" hidden="1" x14ac:dyDescent="0.3">
      <c r="A71" s="391">
        <f>SUMIF('kurzy ČNB'!A:A,'jb IFRS'!J71,'kurzy ČNB'!B:B)</f>
        <v>25.265000000000001</v>
      </c>
      <c r="B71" s="125">
        <f t="shared" si="4"/>
        <v>11925.552345141501</v>
      </c>
      <c r="C71" s="126">
        <f t="shared" si="5"/>
        <v>11925.552345141501</v>
      </c>
      <c r="D71" s="407" t="s">
        <v>1000</v>
      </c>
      <c r="E71" s="404" t="s">
        <v>855</v>
      </c>
      <c r="F71" s="406">
        <v>301299.08</v>
      </c>
      <c r="G71" s="406">
        <v>0</v>
      </c>
      <c r="H71" s="403"/>
      <c r="I71" s="404" t="s">
        <v>1067</v>
      </c>
      <c r="J71" s="336" t="s">
        <v>1672</v>
      </c>
      <c r="K71" s="405" t="s">
        <v>856</v>
      </c>
      <c r="L71" s="336" t="s">
        <v>1673</v>
      </c>
      <c r="M71" s="336" t="s">
        <v>1565</v>
      </c>
      <c r="N71" s="336" t="s">
        <v>1482</v>
      </c>
      <c r="O71" s="336" t="s">
        <v>1000</v>
      </c>
      <c r="P71" s="336" t="s">
        <v>802</v>
      </c>
      <c r="Q71" s="408">
        <v>301299.08</v>
      </c>
      <c r="R71" s="408">
        <v>0</v>
      </c>
      <c r="S71" s="403"/>
      <c r="T71" s="403"/>
      <c r="U71" s="336" t="s">
        <v>1674</v>
      </c>
      <c r="V71" s="403"/>
      <c r="W71" s="403"/>
      <c r="X71" s="403"/>
      <c r="Y71" s="403"/>
      <c r="Z71" s="403"/>
      <c r="AA71" s="408">
        <v>301299.08</v>
      </c>
      <c r="AB71" s="403"/>
    </row>
    <row r="72" spans="1:28" hidden="1" x14ac:dyDescent="0.3">
      <c r="A72" s="391">
        <f>SUMIF('kurzy ČNB'!A:A,'jb IFRS'!J72,'kurzy ČNB'!B:B)</f>
        <v>25.265000000000001</v>
      </c>
      <c r="B72" s="125">
        <f t="shared" ref="B72:B135" si="6">F72/A72</f>
        <v>-16.590144468632495</v>
      </c>
      <c r="C72" s="126">
        <f t="shared" ref="C72:C135" si="7">IF(H72="EUR",G72,B72)</f>
        <v>-16.59</v>
      </c>
      <c r="D72" s="407" t="s">
        <v>800</v>
      </c>
      <c r="E72" s="404" t="s">
        <v>853</v>
      </c>
      <c r="F72" s="406">
        <v>-419.15000000000003</v>
      </c>
      <c r="G72" s="406">
        <v>-16.59</v>
      </c>
      <c r="H72" s="404" t="s">
        <v>15</v>
      </c>
      <c r="I72" s="404" t="s">
        <v>1067</v>
      </c>
      <c r="J72" s="336" t="s">
        <v>1672</v>
      </c>
      <c r="K72" s="405" t="s">
        <v>866</v>
      </c>
      <c r="L72" s="336" t="s">
        <v>1076</v>
      </c>
      <c r="M72" s="336" t="s">
        <v>1675</v>
      </c>
      <c r="N72" s="403"/>
      <c r="O72" s="336" t="s">
        <v>832</v>
      </c>
      <c r="P72" s="336" t="s">
        <v>800</v>
      </c>
      <c r="Q72" s="408">
        <v>419.15000000000003</v>
      </c>
      <c r="R72" s="408">
        <v>16.59</v>
      </c>
      <c r="S72" s="405" t="s">
        <v>15</v>
      </c>
      <c r="T72" s="405" t="s">
        <v>1676</v>
      </c>
      <c r="U72" s="403"/>
      <c r="V72" s="403"/>
      <c r="W72" s="403"/>
      <c r="X72" s="403"/>
      <c r="Y72" s="403"/>
      <c r="Z72" s="403"/>
      <c r="AA72" s="403"/>
      <c r="AB72" s="408">
        <v>419.15000000000003</v>
      </c>
    </row>
    <row r="73" spans="1:28" hidden="1" x14ac:dyDescent="0.3">
      <c r="A73" s="391">
        <f>SUMIF('kurzy ČNB'!A:A,'jb IFRS'!J73,'kurzy ČNB'!B:B)</f>
        <v>25.265000000000001</v>
      </c>
      <c r="B73" s="125">
        <f t="shared" si="6"/>
        <v>16.590144468632495</v>
      </c>
      <c r="C73" s="126">
        <f t="shared" si="7"/>
        <v>16.59</v>
      </c>
      <c r="D73" s="407" t="s">
        <v>832</v>
      </c>
      <c r="E73" s="404" t="s">
        <v>855</v>
      </c>
      <c r="F73" s="406">
        <v>419.15000000000003</v>
      </c>
      <c r="G73" s="406">
        <v>16.59</v>
      </c>
      <c r="H73" s="404" t="s">
        <v>15</v>
      </c>
      <c r="I73" s="404" t="s">
        <v>1067</v>
      </c>
      <c r="J73" s="336" t="s">
        <v>1672</v>
      </c>
      <c r="K73" s="405" t="s">
        <v>866</v>
      </c>
      <c r="L73" s="336" t="s">
        <v>1076</v>
      </c>
      <c r="M73" s="336" t="s">
        <v>1675</v>
      </c>
      <c r="N73" s="403"/>
      <c r="O73" s="336" t="s">
        <v>832</v>
      </c>
      <c r="P73" s="336" t="s">
        <v>800</v>
      </c>
      <c r="Q73" s="408">
        <v>419.15000000000003</v>
      </c>
      <c r="R73" s="408">
        <v>16.59</v>
      </c>
      <c r="S73" s="405" t="s">
        <v>15</v>
      </c>
      <c r="T73" s="405" t="s">
        <v>1676</v>
      </c>
      <c r="U73" s="403"/>
      <c r="V73" s="403"/>
      <c r="W73" s="403"/>
      <c r="X73" s="403"/>
      <c r="Y73" s="403"/>
      <c r="Z73" s="403"/>
      <c r="AA73" s="408">
        <v>419.15000000000003</v>
      </c>
      <c r="AB73" s="403"/>
    </row>
    <row r="74" spans="1:28" hidden="1" x14ac:dyDescent="0.3">
      <c r="A74" s="391">
        <f>SUMIF('kurzy ČNB'!A:A,'jb IFRS'!J74,'kurzy ČNB'!B:B)</f>
        <v>25.265000000000001</v>
      </c>
      <c r="B74" s="125">
        <f t="shared" si="6"/>
        <v>-78.980011874134178</v>
      </c>
      <c r="C74" s="126">
        <f t="shared" si="7"/>
        <v>-78.98</v>
      </c>
      <c r="D74" s="407" t="s">
        <v>800</v>
      </c>
      <c r="E74" s="404" t="s">
        <v>853</v>
      </c>
      <c r="F74" s="406">
        <v>-1995.43</v>
      </c>
      <c r="G74" s="406">
        <v>-78.98</v>
      </c>
      <c r="H74" s="404" t="s">
        <v>15</v>
      </c>
      <c r="I74" s="404" t="s">
        <v>1067</v>
      </c>
      <c r="J74" s="336" t="s">
        <v>1672</v>
      </c>
      <c r="K74" s="405" t="s">
        <v>866</v>
      </c>
      <c r="L74" s="336" t="s">
        <v>1078</v>
      </c>
      <c r="M74" s="336" t="s">
        <v>1675</v>
      </c>
      <c r="N74" s="403"/>
      <c r="O74" s="336" t="s">
        <v>832</v>
      </c>
      <c r="P74" s="336" t="s">
        <v>800</v>
      </c>
      <c r="Q74" s="408">
        <v>1995.43</v>
      </c>
      <c r="R74" s="408">
        <v>78.98</v>
      </c>
      <c r="S74" s="405" t="s">
        <v>15</v>
      </c>
      <c r="T74" s="405" t="s">
        <v>1676</v>
      </c>
      <c r="U74" s="403"/>
      <c r="V74" s="403"/>
      <c r="W74" s="403"/>
      <c r="X74" s="403"/>
      <c r="Y74" s="403"/>
      <c r="Z74" s="403"/>
      <c r="AA74" s="403"/>
      <c r="AB74" s="408">
        <v>1995.43</v>
      </c>
    </row>
    <row r="75" spans="1:28" hidden="1" x14ac:dyDescent="0.3">
      <c r="A75" s="391">
        <f>SUMIF('kurzy ČNB'!A:A,'jb IFRS'!J75,'kurzy ČNB'!B:B)</f>
        <v>25.265000000000001</v>
      </c>
      <c r="B75" s="125">
        <f t="shared" si="6"/>
        <v>78.980011874134178</v>
      </c>
      <c r="C75" s="126">
        <f t="shared" si="7"/>
        <v>78.98</v>
      </c>
      <c r="D75" s="407" t="s">
        <v>832</v>
      </c>
      <c r="E75" s="404" t="s">
        <v>855</v>
      </c>
      <c r="F75" s="406">
        <v>1995.43</v>
      </c>
      <c r="G75" s="406">
        <v>78.98</v>
      </c>
      <c r="H75" s="404" t="s">
        <v>15</v>
      </c>
      <c r="I75" s="404" t="s">
        <v>1067</v>
      </c>
      <c r="J75" s="336" t="s">
        <v>1672</v>
      </c>
      <c r="K75" s="405" t="s">
        <v>866</v>
      </c>
      <c r="L75" s="336" t="s">
        <v>1078</v>
      </c>
      <c r="M75" s="336" t="s">
        <v>1675</v>
      </c>
      <c r="N75" s="403"/>
      <c r="O75" s="336" t="s">
        <v>832</v>
      </c>
      <c r="P75" s="336" t="s">
        <v>800</v>
      </c>
      <c r="Q75" s="408">
        <v>1995.43</v>
      </c>
      <c r="R75" s="408">
        <v>78.98</v>
      </c>
      <c r="S75" s="405" t="s">
        <v>15</v>
      </c>
      <c r="T75" s="405" t="s">
        <v>1676</v>
      </c>
      <c r="U75" s="403"/>
      <c r="V75" s="403"/>
      <c r="W75" s="403"/>
      <c r="X75" s="403"/>
      <c r="Y75" s="403"/>
      <c r="Z75" s="403"/>
      <c r="AA75" s="408">
        <v>1995.43</v>
      </c>
      <c r="AB75" s="403"/>
    </row>
    <row r="76" spans="1:28" hidden="1" x14ac:dyDescent="0.3">
      <c r="A76" s="391">
        <f>SUMIF('kurzy ČNB'!A:A,'jb IFRS'!J76,'kurzy ČNB'!B:B)</f>
        <v>25.305</v>
      </c>
      <c r="B76" s="125">
        <f t="shared" si="6"/>
        <v>-273.51116380162023</v>
      </c>
      <c r="C76" s="126">
        <f t="shared" si="7"/>
        <v>-273.51116380162023</v>
      </c>
      <c r="D76" s="407" t="s">
        <v>802</v>
      </c>
      <c r="E76" s="404" t="s">
        <v>853</v>
      </c>
      <c r="F76" s="406">
        <v>-6921.2</v>
      </c>
      <c r="G76" s="406">
        <v>0</v>
      </c>
      <c r="H76" s="403"/>
      <c r="I76" s="404" t="s">
        <v>1067</v>
      </c>
      <c r="J76" s="336" t="s">
        <v>1677</v>
      </c>
      <c r="K76" s="405" t="s">
        <v>856</v>
      </c>
      <c r="L76" s="336" t="s">
        <v>1678</v>
      </c>
      <c r="M76" s="336" t="s">
        <v>1679</v>
      </c>
      <c r="N76" s="336" t="s">
        <v>1483</v>
      </c>
      <c r="O76" s="336" t="s">
        <v>826</v>
      </c>
      <c r="P76" s="336" t="s">
        <v>802</v>
      </c>
      <c r="Q76" s="408">
        <v>6921.2</v>
      </c>
      <c r="R76" s="408">
        <v>0</v>
      </c>
      <c r="S76" s="403"/>
      <c r="T76" s="403"/>
      <c r="U76" s="336" t="s">
        <v>1680</v>
      </c>
      <c r="V76" s="403"/>
      <c r="W76" s="403"/>
      <c r="X76" s="403"/>
      <c r="Y76" s="403"/>
      <c r="Z76" s="403"/>
      <c r="AA76" s="403"/>
      <c r="AB76" s="408">
        <v>6921.2</v>
      </c>
    </row>
    <row r="77" spans="1:28" hidden="1" x14ac:dyDescent="0.3">
      <c r="A77" s="391">
        <f>SUMIF('kurzy ČNB'!A:A,'jb IFRS'!J77,'kurzy ČNB'!B:B)</f>
        <v>25.305</v>
      </c>
      <c r="B77" s="125">
        <f t="shared" si="6"/>
        <v>273.51116380162023</v>
      </c>
      <c r="C77" s="126">
        <f t="shared" si="7"/>
        <v>273.51116380162023</v>
      </c>
      <c r="D77" s="407" t="s">
        <v>826</v>
      </c>
      <c r="E77" s="404" t="s">
        <v>855</v>
      </c>
      <c r="F77" s="406">
        <v>6921.2</v>
      </c>
      <c r="G77" s="406">
        <v>0</v>
      </c>
      <c r="H77" s="403"/>
      <c r="I77" s="404" t="s">
        <v>1067</v>
      </c>
      <c r="J77" s="336" t="s">
        <v>1677</v>
      </c>
      <c r="K77" s="405" t="s">
        <v>856</v>
      </c>
      <c r="L77" s="336" t="s">
        <v>1678</v>
      </c>
      <c r="M77" s="336" t="s">
        <v>1679</v>
      </c>
      <c r="N77" s="336" t="s">
        <v>1483</v>
      </c>
      <c r="O77" s="336" t="s">
        <v>826</v>
      </c>
      <c r="P77" s="336" t="s">
        <v>802</v>
      </c>
      <c r="Q77" s="408">
        <v>6921.2</v>
      </c>
      <c r="R77" s="408">
        <v>0</v>
      </c>
      <c r="S77" s="403"/>
      <c r="T77" s="403"/>
      <c r="U77" s="336" t="s">
        <v>1680</v>
      </c>
      <c r="V77" s="403"/>
      <c r="W77" s="403"/>
      <c r="X77" s="403"/>
      <c r="Y77" s="403"/>
      <c r="Z77" s="403"/>
      <c r="AA77" s="408">
        <v>6921.2</v>
      </c>
      <c r="AB77" s="403"/>
    </row>
    <row r="78" spans="1:28" hidden="1" x14ac:dyDescent="0.3">
      <c r="A78" s="391">
        <f>SUMIF('kurzy ČNB'!A:A,'jb IFRS'!J78,'kurzy ČNB'!B:B)</f>
        <v>25.305</v>
      </c>
      <c r="B78" s="125">
        <f t="shared" si="6"/>
        <v>-1322.6354475400117</v>
      </c>
      <c r="C78" s="126">
        <f t="shared" si="7"/>
        <v>-1321.33</v>
      </c>
      <c r="D78" s="407" t="s">
        <v>802</v>
      </c>
      <c r="E78" s="404" t="s">
        <v>853</v>
      </c>
      <c r="F78" s="406">
        <v>-33469.289999999994</v>
      </c>
      <c r="G78" s="406">
        <v>-1321.33</v>
      </c>
      <c r="H78" s="404" t="s">
        <v>15</v>
      </c>
      <c r="I78" s="404" t="s">
        <v>1067</v>
      </c>
      <c r="J78" s="336" t="s">
        <v>1677</v>
      </c>
      <c r="K78" s="405" t="s">
        <v>856</v>
      </c>
      <c r="L78" s="336" t="s">
        <v>1681</v>
      </c>
      <c r="M78" s="336" t="s">
        <v>1120</v>
      </c>
      <c r="N78" s="336" t="s">
        <v>1483</v>
      </c>
      <c r="O78" s="336" t="s">
        <v>826</v>
      </c>
      <c r="P78" s="336" t="s">
        <v>802</v>
      </c>
      <c r="Q78" s="408">
        <v>33469.289999999994</v>
      </c>
      <c r="R78" s="408">
        <v>1321.33</v>
      </c>
      <c r="S78" s="405" t="s">
        <v>15</v>
      </c>
      <c r="T78" s="405" t="s">
        <v>1682</v>
      </c>
      <c r="U78" s="336" t="s">
        <v>1683</v>
      </c>
      <c r="V78" s="403"/>
      <c r="W78" s="403"/>
      <c r="X78" s="403"/>
      <c r="Y78" s="403"/>
      <c r="Z78" s="403"/>
      <c r="AA78" s="403"/>
      <c r="AB78" s="408">
        <v>33469.289999999994</v>
      </c>
    </row>
    <row r="79" spans="1:28" hidden="1" x14ac:dyDescent="0.3">
      <c r="A79" s="391">
        <f>SUMIF('kurzy ČNB'!A:A,'jb IFRS'!J79,'kurzy ČNB'!B:B)</f>
        <v>25.305</v>
      </c>
      <c r="B79" s="125">
        <f t="shared" si="6"/>
        <v>1322.6354475400117</v>
      </c>
      <c r="C79" s="126">
        <f t="shared" si="7"/>
        <v>1321.33</v>
      </c>
      <c r="D79" s="407" t="s">
        <v>826</v>
      </c>
      <c r="E79" s="404" t="s">
        <v>855</v>
      </c>
      <c r="F79" s="406">
        <v>33469.289999999994</v>
      </c>
      <c r="G79" s="406">
        <v>1321.33</v>
      </c>
      <c r="H79" s="404" t="s">
        <v>15</v>
      </c>
      <c r="I79" s="404" t="s">
        <v>1067</v>
      </c>
      <c r="J79" s="336" t="s">
        <v>1677</v>
      </c>
      <c r="K79" s="405" t="s">
        <v>856</v>
      </c>
      <c r="L79" s="336" t="s">
        <v>1681</v>
      </c>
      <c r="M79" s="336" t="s">
        <v>1120</v>
      </c>
      <c r="N79" s="336" t="s">
        <v>1483</v>
      </c>
      <c r="O79" s="336" t="s">
        <v>826</v>
      </c>
      <c r="P79" s="336" t="s">
        <v>802</v>
      </c>
      <c r="Q79" s="408">
        <v>33469.289999999994</v>
      </c>
      <c r="R79" s="408">
        <v>1321.33</v>
      </c>
      <c r="S79" s="405" t="s">
        <v>15</v>
      </c>
      <c r="T79" s="405" t="s">
        <v>1682</v>
      </c>
      <c r="U79" s="336" t="s">
        <v>1683</v>
      </c>
      <c r="V79" s="403"/>
      <c r="W79" s="403"/>
      <c r="X79" s="403"/>
      <c r="Y79" s="403"/>
      <c r="Z79" s="403"/>
      <c r="AA79" s="408">
        <v>33469.289999999994</v>
      </c>
      <c r="AB79" s="403"/>
    </row>
    <row r="80" spans="1:28" hidden="1" x14ac:dyDescent="0.3">
      <c r="A80" s="391">
        <f>SUMIF('kurzy ČNB'!A:A,'jb IFRS'!J80,'kurzy ČNB'!B:B)</f>
        <v>25.305</v>
      </c>
      <c r="B80" s="125">
        <f t="shared" si="6"/>
        <v>-125756.39004149377</v>
      </c>
      <c r="C80" s="126">
        <f t="shared" si="7"/>
        <v>-125756.39</v>
      </c>
      <c r="D80" s="407" t="s">
        <v>834</v>
      </c>
      <c r="E80" s="404" t="s">
        <v>853</v>
      </c>
      <c r="F80" s="406">
        <v>-3182265.4499999997</v>
      </c>
      <c r="G80" s="406">
        <v>-125756.39</v>
      </c>
      <c r="H80" s="404" t="s">
        <v>15</v>
      </c>
      <c r="I80" s="404" t="s">
        <v>1067</v>
      </c>
      <c r="J80" s="336" t="s">
        <v>1677</v>
      </c>
      <c r="K80" s="405" t="s">
        <v>865</v>
      </c>
      <c r="L80" s="336" t="s">
        <v>1684</v>
      </c>
      <c r="M80" s="336" t="s">
        <v>1685</v>
      </c>
      <c r="N80" s="403"/>
      <c r="O80" s="336" t="s">
        <v>772</v>
      </c>
      <c r="P80" s="336" t="s">
        <v>834</v>
      </c>
      <c r="Q80" s="408">
        <v>3182265.4499999997</v>
      </c>
      <c r="R80" s="408">
        <v>125756.39</v>
      </c>
      <c r="S80" s="405" t="s">
        <v>15</v>
      </c>
      <c r="T80" s="405" t="s">
        <v>1686</v>
      </c>
      <c r="U80" s="336" t="s">
        <v>1518</v>
      </c>
      <c r="V80" s="403"/>
      <c r="W80" s="403"/>
      <c r="X80" s="403"/>
      <c r="Y80" s="403"/>
      <c r="Z80" s="403"/>
      <c r="AA80" s="403"/>
      <c r="AB80" s="408">
        <v>3182265.4499999997</v>
      </c>
    </row>
    <row r="81" spans="1:28" hidden="1" x14ac:dyDescent="0.3">
      <c r="A81" s="391">
        <f>SUMIF('kurzy ČNB'!A:A,'jb IFRS'!J81,'kurzy ČNB'!B:B)</f>
        <v>25.305</v>
      </c>
      <c r="B81" s="125">
        <f t="shared" si="6"/>
        <v>125756.39004149377</v>
      </c>
      <c r="C81" s="126">
        <f t="shared" si="7"/>
        <v>125756.39</v>
      </c>
      <c r="D81" s="407" t="s">
        <v>772</v>
      </c>
      <c r="E81" s="404" t="s">
        <v>855</v>
      </c>
      <c r="F81" s="406">
        <v>3182265.4499999997</v>
      </c>
      <c r="G81" s="406">
        <v>125756.39</v>
      </c>
      <c r="H81" s="404" t="s">
        <v>15</v>
      </c>
      <c r="I81" s="404" t="s">
        <v>1067</v>
      </c>
      <c r="J81" s="336" t="s">
        <v>1677</v>
      </c>
      <c r="K81" s="405" t="s">
        <v>865</v>
      </c>
      <c r="L81" s="336" t="s">
        <v>1684</v>
      </c>
      <c r="M81" s="336" t="s">
        <v>1685</v>
      </c>
      <c r="N81" s="403"/>
      <c r="O81" s="336" t="s">
        <v>772</v>
      </c>
      <c r="P81" s="336" t="s">
        <v>834</v>
      </c>
      <c r="Q81" s="408">
        <v>3182265.4499999997</v>
      </c>
      <c r="R81" s="408">
        <v>125756.39</v>
      </c>
      <c r="S81" s="405" t="s">
        <v>15</v>
      </c>
      <c r="T81" s="405" t="s">
        <v>1686</v>
      </c>
      <c r="U81" s="336" t="s">
        <v>1518</v>
      </c>
      <c r="V81" s="403"/>
      <c r="W81" s="403"/>
      <c r="X81" s="403"/>
      <c r="Y81" s="403"/>
      <c r="Z81" s="403"/>
      <c r="AA81" s="408">
        <v>3182265.4499999997</v>
      </c>
      <c r="AB81" s="403"/>
    </row>
    <row r="82" spans="1:28" hidden="1" x14ac:dyDescent="0.3">
      <c r="A82" s="391">
        <f>SUMIF('kurzy ČNB'!A:A,'jb IFRS'!J82,'kurzy ČNB'!B:B)</f>
        <v>25.305</v>
      </c>
      <c r="B82" s="125">
        <f t="shared" si="6"/>
        <v>-118131.01007705987</v>
      </c>
      <c r="C82" s="126">
        <f t="shared" si="7"/>
        <v>-118131.01</v>
      </c>
      <c r="D82" s="407" t="s">
        <v>818</v>
      </c>
      <c r="E82" s="404" t="s">
        <v>853</v>
      </c>
      <c r="F82" s="406">
        <v>-2989305.21</v>
      </c>
      <c r="G82" s="406">
        <v>-118131.01</v>
      </c>
      <c r="H82" s="404" t="s">
        <v>15</v>
      </c>
      <c r="I82" s="404" t="s">
        <v>1067</v>
      </c>
      <c r="J82" s="336" t="s">
        <v>1677</v>
      </c>
      <c r="K82" s="405" t="s">
        <v>865</v>
      </c>
      <c r="L82" s="336" t="s">
        <v>1687</v>
      </c>
      <c r="M82" s="336" t="s">
        <v>1688</v>
      </c>
      <c r="N82" s="403"/>
      <c r="O82" s="336" t="s">
        <v>828</v>
      </c>
      <c r="P82" s="336" t="s">
        <v>818</v>
      </c>
      <c r="Q82" s="408">
        <v>2989305.21</v>
      </c>
      <c r="R82" s="408">
        <v>118131.01</v>
      </c>
      <c r="S82" s="405" t="s">
        <v>15</v>
      </c>
      <c r="T82" s="405" t="s">
        <v>1686</v>
      </c>
      <c r="U82" s="336" t="s">
        <v>1517</v>
      </c>
      <c r="V82" s="403"/>
      <c r="W82" s="403"/>
      <c r="X82" s="403"/>
      <c r="Y82" s="403"/>
      <c r="Z82" s="403"/>
      <c r="AA82" s="403"/>
      <c r="AB82" s="408">
        <v>2989305.21</v>
      </c>
    </row>
    <row r="83" spans="1:28" hidden="1" x14ac:dyDescent="0.3">
      <c r="A83" s="391">
        <f>SUMIF('kurzy ČNB'!A:A,'jb IFRS'!J83,'kurzy ČNB'!B:B)</f>
        <v>25.305</v>
      </c>
      <c r="B83" s="125">
        <f t="shared" si="6"/>
        <v>118131.01007705987</v>
      </c>
      <c r="C83" s="126">
        <f t="shared" si="7"/>
        <v>118131.01</v>
      </c>
      <c r="D83" s="407" t="s">
        <v>828</v>
      </c>
      <c r="E83" s="404" t="s">
        <v>855</v>
      </c>
      <c r="F83" s="406">
        <v>2989305.21</v>
      </c>
      <c r="G83" s="406">
        <v>118131.01</v>
      </c>
      <c r="H83" s="404" t="s">
        <v>15</v>
      </c>
      <c r="I83" s="404" t="s">
        <v>1067</v>
      </c>
      <c r="J83" s="336" t="s">
        <v>1677</v>
      </c>
      <c r="K83" s="405" t="s">
        <v>865</v>
      </c>
      <c r="L83" s="336" t="s">
        <v>1687</v>
      </c>
      <c r="M83" s="336" t="s">
        <v>1688</v>
      </c>
      <c r="N83" s="403"/>
      <c r="O83" s="336" t="s">
        <v>828</v>
      </c>
      <c r="P83" s="336" t="s">
        <v>818</v>
      </c>
      <c r="Q83" s="408">
        <v>2989305.21</v>
      </c>
      <c r="R83" s="408">
        <v>118131.01</v>
      </c>
      <c r="S83" s="405" t="s">
        <v>15</v>
      </c>
      <c r="T83" s="405" t="s">
        <v>1686</v>
      </c>
      <c r="U83" s="336" t="s">
        <v>1517</v>
      </c>
      <c r="V83" s="403"/>
      <c r="W83" s="403"/>
      <c r="X83" s="403"/>
      <c r="Y83" s="403"/>
      <c r="Z83" s="403"/>
      <c r="AA83" s="408">
        <v>2989305.21</v>
      </c>
      <c r="AB83" s="403"/>
    </row>
    <row r="84" spans="1:28" hidden="1" x14ac:dyDescent="0.3">
      <c r="A84" s="391">
        <f>SUMIF('kurzy ČNB'!A:A,'jb IFRS'!J84,'kurzy ČNB'!B:B)</f>
        <v>25.305</v>
      </c>
      <c r="B84" s="125">
        <f t="shared" si="6"/>
        <v>-0.46986761509583092</v>
      </c>
      <c r="C84" s="126">
        <f t="shared" si="7"/>
        <v>-0.47000000000000003</v>
      </c>
      <c r="D84" s="407" t="s">
        <v>800</v>
      </c>
      <c r="E84" s="404" t="s">
        <v>853</v>
      </c>
      <c r="F84" s="406">
        <v>-11.89</v>
      </c>
      <c r="G84" s="406">
        <v>-0.47000000000000003</v>
      </c>
      <c r="H84" s="404" t="s">
        <v>15</v>
      </c>
      <c r="I84" s="404" t="s">
        <v>1067</v>
      </c>
      <c r="J84" s="336" t="s">
        <v>1677</v>
      </c>
      <c r="K84" s="405" t="s">
        <v>866</v>
      </c>
      <c r="L84" s="336" t="s">
        <v>1081</v>
      </c>
      <c r="M84" s="336" t="s">
        <v>869</v>
      </c>
      <c r="N84" s="403"/>
      <c r="O84" s="336" t="s">
        <v>832</v>
      </c>
      <c r="P84" s="336" t="s">
        <v>800</v>
      </c>
      <c r="Q84" s="408">
        <v>11.89</v>
      </c>
      <c r="R84" s="408">
        <v>0.47000000000000003</v>
      </c>
      <c r="S84" s="405" t="s">
        <v>15</v>
      </c>
      <c r="T84" s="405" t="s">
        <v>1686</v>
      </c>
      <c r="U84" s="403"/>
      <c r="V84" s="403"/>
      <c r="W84" s="403"/>
      <c r="X84" s="403"/>
      <c r="Y84" s="403"/>
      <c r="Z84" s="403"/>
      <c r="AA84" s="403"/>
      <c r="AB84" s="408">
        <v>11.89</v>
      </c>
    </row>
    <row r="85" spans="1:28" hidden="1" x14ac:dyDescent="0.3">
      <c r="A85" s="391">
        <f>SUMIF('kurzy ČNB'!A:A,'jb IFRS'!J85,'kurzy ČNB'!B:B)</f>
        <v>25.305</v>
      </c>
      <c r="B85" s="125">
        <f t="shared" si="6"/>
        <v>0.46986761509583092</v>
      </c>
      <c r="C85" s="126">
        <f t="shared" si="7"/>
        <v>0.47000000000000003</v>
      </c>
      <c r="D85" s="407" t="s">
        <v>832</v>
      </c>
      <c r="E85" s="404" t="s">
        <v>855</v>
      </c>
      <c r="F85" s="406">
        <v>11.89</v>
      </c>
      <c r="G85" s="406">
        <v>0.47000000000000003</v>
      </c>
      <c r="H85" s="404" t="s">
        <v>15</v>
      </c>
      <c r="I85" s="404" t="s">
        <v>1067</v>
      </c>
      <c r="J85" s="336" t="s">
        <v>1677</v>
      </c>
      <c r="K85" s="405" t="s">
        <v>866</v>
      </c>
      <c r="L85" s="336" t="s">
        <v>1081</v>
      </c>
      <c r="M85" s="336" t="s">
        <v>869</v>
      </c>
      <c r="N85" s="403"/>
      <c r="O85" s="336" t="s">
        <v>832</v>
      </c>
      <c r="P85" s="336" t="s">
        <v>800</v>
      </c>
      <c r="Q85" s="408">
        <v>11.89</v>
      </c>
      <c r="R85" s="408">
        <v>0.47000000000000003</v>
      </c>
      <c r="S85" s="405" t="s">
        <v>15</v>
      </c>
      <c r="T85" s="405" t="s">
        <v>1686</v>
      </c>
      <c r="U85" s="403"/>
      <c r="V85" s="403"/>
      <c r="W85" s="403"/>
      <c r="X85" s="403"/>
      <c r="Y85" s="403"/>
      <c r="Z85" s="403"/>
      <c r="AA85" s="408">
        <v>11.89</v>
      </c>
      <c r="AB85" s="403"/>
    </row>
    <row r="86" spans="1:28" hidden="1" x14ac:dyDescent="0.3">
      <c r="A86" s="391">
        <f>SUMIF('kurzy ČNB'!A:A,'jb IFRS'!J86,'kurzy ČNB'!B:B)</f>
        <v>25.305</v>
      </c>
      <c r="B86" s="125">
        <f t="shared" si="6"/>
        <v>-1.1898834222485677</v>
      </c>
      <c r="C86" s="126">
        <f t="shared" si="7"/>
        <v>-1.1900000000000002</v>
      </c>
      <c r="D86" s="407" t="s">
        <v>800</v>
      </c>
      <c r="E86" s="404" t="s">
        <v>853</v>
      </c>
      <c r="F86" s="406">
        <v>-30.110000000000003</v>
      </c>
      <c r="G86" s="406">
        <v>-1.1900000000000002</v>
      </c>
      <c r="H86" s="404" t="s">
        <v>15</v>
      </c>
      <c r="I86" s="404" t="s">
        <v>1067</v>
      </c>
      <c r="J86" s="336" t="s">
        <v>1677</v>
      </c>
      <c r="K86" s="405" t="s">
        <v>866</v>
      </c>
      <c r="L86" s="336" t="s">
        <v>1082</v>
      </c>
      <c r="M86" s="336" t="s">
        <v>869</v>
      </c>
      <c r="N86" s="403"/>
      <c r="O86" s="336" t="s">
        <v>832</v>
      </c>
      <c r="P86" s="336" t="s">
        <v>800</v>
      </c>
      <c r="Q86" s="408">
        <v>30.110000000000003</v>
      </c>
      <c r="R86" s="408">
        <v>1.1900000000000002</v>
      </c>
      <c r="S86" s="405" t="s">
        <v>15</v>
      </c>
      <c r="T86" s="405" t="s">
        <v>1686</v>
      </c>
      <c r="U86" s="403"/>
      <c r="V86" s="403"/>
      <c r="W86" s="403"/>
      <c r="X86" s="403"/>
      <c r="Y86" s="403"/>
      <c r="Z86" s="403"/>
      <c r="AA86" s="403"/>
      <c r="AB86" s="408">
        <v>30.110000000000003</v>
      </c>
    </row>
    <row r="87" spans="1:28" hidden="1" x14ac:dyDescent="0.3">
      <c r="A87" s="391">
        <f>SUMIF('kurzy ČNB'!A:A,'jb IFRS'!J87,'kurzy ČNB'!B:B)</f>
        <v>25.305</v>
      </c>
      <c r="B87" s="125">
        <f t="shared" si="6"/>
        <v>1.1898834222485677</v>
      </c>
      <c r="C87" s="126">
        <f t="shared" si="7"/>
        <v>1.1900000000000002</v>
      </c>
      <c r="D87" s="407" t="s">
        <v>832</v>
      </c>
      <c r="E87" s="404" t="s">
        <v>855</v>
      </c>
      <c r="F87" s="406">
        <v>30.110000000000003</v>
      </c>
      <c r="G87" s="406">
        <v>1.1900000000000002</v>
      </c>
      <c r="H87" s="404" t="s">
        <v>15</v>
      </c>
      <c r="I87" s="404" t="s">
        <v>1067</v>
      </c>
      <c r="J87" s="336" t="s">
        <v>1677</v>
      </c>
      <c r="K87" s="405" t="s">
        <v>866</v>
      </c>
      <c r="L87" s="336" t="s">
        <v>1082</v>
      </c>
      <c r="M87" s="336" t="s">
        <v>869</v>
      </c>
      <c r="N87" s="403"/>
      <c r="O87" s="336" t="s">
        <v>832</v>
      </c>
      <c r="P87" s="336" t="s">
        <v>800</v>
      </c>
      <c r="Q87" s="408">
        <v>30.110000000000003</v>
      </c>
      <c r="R87" s="408">
        <v>1.1900000000000002</v>
      </c>
      <c r="S87" s="405" t="s">
        <v>15</v>
      </c>
      <c r="T87" s="405" t="s">
        <v>1686</v>
      </c>
      <c r="U87" s="403"/>
      <c r="V87" s="403"/>
      <c r="W87" s="403"/>
      <c r="X87" s="403"/>
      <c r="Y87" s="403"/>
      <c r="Z87" s="403"/>
      <c r="AA87" s="408">
        <v>30.110000000000003</v>
      </c>
      <c r="AB87" s="403"/>
    </row>
    <row r="88" spans="1:28" hidden="1" x14ac:dyDescent="0.3">
      <c r="A88" s="391">
        <f>SUMIF('kurzy ČNB'!A:A,'jb IFRS'!J88,'kurzy ČNB'!B:B)</f>
        <v>25.305</v>
      </c>
      <c r="B88" s="125">
        <f t="shared" si="6"/>
        <v>-7.7099387472831458</v>
      </c>
      <c r="C88" s="126">
        <f t="shared" si="7"/>
        <v>-7.71</v>
      </c>
      <c r="D88" s="407" t="s">
        <v>800</v>
      </c>
      <c r="E88" s="404" t="s">
        <v>853</v>
      </c>
      <c r="F88" s="406">
        <v>-195.1</v>
      </c>
      <c r="G88" s="406">
        <v>-7.71</v>
      </c>
      <c r="H88" s="404" t="s">
        <v>15</v>
      </c>
      <c r="I88" s="404" t="s">
        <v>1067</v>
      </c>
      <c r="J88" s="336" t="s">
        <v>1677</v>
      </c>
      <c r="K88" s="405" t="s">
        <v>866</v>
      </c>
      <c r="L88" s="336" t="s">
        <v>1083</v>
      </c>
      <c r="M88" s="336" t="s">
        <v>869</v>
      </c>
      <c r="N88" s="403"/>
      <c r="O88" s="336" t="s">
        <v>832</v>
      </c>
      <c r="P88" s="336" t="s">
        <v>800</v>
      </c>
      <c r="Q88" s="408">
        <v>195.1</v>
      </c>
      <c r="R88" s="408">
        <v>7.71</v>
      </c>
      <c r="S88" s="405" t="s">
        <v>15</v>
      </c>
      <c r="T88" s="405" t="s">
        <v>1686</v>
      </c>
      <c r="U88" s="403"/>
      <c r="V88" s="403"/>
      <c r="W88" s="403"/>
      <c r="X88" s="403"/>
      <c r="Y88" s="403"/>
      <c r="Z88" s="403"/>
      <c r="AA88" s="403"/>
      <c r="AB88" s="408">
        <v>195.1</v>
      </c>
    </row>
    <row r="89" spans="1:28" hidden="1" x14ac:dyDescent="0.3">
      <c r="A89" s="391">
        <f>SUMIF('kurzy ČNB'!A:A,'jb IFRS'!J89,'kurzy ČNB'!B:B)</f>
        <v>25.305</v>
      </c>
      <c r="B89" s="125">
        <f t="shared" si="6"/>
        <v>7.7099387472831458</v>
      </c>
      <c r="C89" s="126">
        <f t="shared" si="7"/>
        <v>7.71</v>
      </c>
      <c r="D89" s="407" t="s">
        <v>832</v>
      </c>
      <c r="E89" s="404" t="s">
        <v>855</v>
      </c>
      <c r="F89" s="406">
        <v>195.1</v>
      </c>
      <c r="G89" s="406">
        <v>7.71</v>
      </c>
      <c r="H89" s="404" t="s">
        <v>15</v>
      </c>
      <c r="I89" s="404" t="s">
        <v>1067</v>
      </c>
      <c r="J89" s="336" t="s">
        <v>1677</v>
      </c>
      <c r="K89" s="405" t="s">
        <v>866</v>
      </c>
      <c r="L89" s="336" t="s">
        <v>1083</v>
      </c>
      <c r="M89" s="336" t="s">
        <v>869</v>
      </c>
      <c r="N89" s="403"/>
      <c r="O89" s="336" t="s">
        <v>832</v>
      </c>
      <c r="P89" s="336" t="s">
        <v>800</v>
      </c>
      <c r="Q89" s="408">
        <v>195.1</v>
      </c>
      <c r="R89" s="408">
        <v>7.71</v>
      </c>
      <c r="S89" s="405" t="s">
        <v>15</v>
      </c>
      <c r="T89" s="405" t="s">
        <v>1686</v>
      </c>
      <c r="U89" s="403"/>
      <c r="V89" s="403"/>
      <c r="W89" s="403"/>
      <c r="X89" s="403"/>
      <c r="Y89" s="403"/>
      <c r="Z89" s="403"/>
      <c r="AA89" s="408">
        <v>195.1</v>
      </c>
      <c r="AB89" s="403"/>
    </row>
    <row r="90" spans="1:28" hidden="1" x14ac:dyDescent="0.3">
      <c r="A90" s="391">
        <f>SUMIF('kurzy ČNB'!A:A,'jb IFRS'!J90,'kurzy ČNB'!B:B)</f>
        <v>25.305</v>
      </c>
      <c r="B90" s="125">
        <f t="shared" si="6"/>
        <v>-12.650069156293224</v>
      </c>
      <c r="C90" s="126">
        <f t="shared" si="7"/>
        <v>-12.65</v>
      </c>
      <c r="D90" s="407" t="s">
        <v>800</v>
      </c>
      <c r="E90" s="404" t="s">
        <v>853</v>
      </c>
      <c r="F90" s="406">
        <v>-320.11</v>
      </c>
      <c r="G90" s="406">
        <v>-12.65</v>
      </c>
      <c r="H90" s="404" t="s">
        <v>15</v>
      </c>
      <c r="I90" s="404" t="s">
        <v>1067</v>
      </c>
      <c r="J90" s="336" t="s">
        <v>1677</v>
      </c>
      <c r="K90" s="405" t="s">
        <v>866</v>
      </c>
      <c r="L90" s="336" t="s">
        <v>1084</v>
      </c>
      <c r="M90" s="336" t="s">
        <v>869</v>
      </c>
      <c r="N90" s="403"/>
      <c r="O90" s="336" t="s">
        <v>832</v>
      </c>
      <c r="P90" s="336" t="s">
        <v>800</v>
      </c>
      <c r="Q90" s="408">
        <v>320.11</v>
      </c>
      <c r="R90" s="408">
        <v>12.65</v>
      </c>
      <c r="S90" s="405" t="s">
        <v>15</v>
      </c>
      <c r="T90" s="405" t="s">
        <v>1686</v>
      </c>
      <c r="U90" s="403"/>
      <c r="V90" s="403"/>
      <c r="W90" s="403"/>
      <c r="X90" s="403"/>
      <c r="Y90" s="403"/>
      <c r="Z90" s="403"/>
      <c r="AA90" s="403"/>
      <c r="AB90" s="408">
        <v>320.11</v>
      </c>
    </row>
    <row r="91" spans="1:28" hidden="1" x14ac:dyDescent="0.3">
      <c r="A91" s="391">
        <f>SUMIF('kurzy ČNB'!A:A,'jb IFRS'!J91,'kurzy ČNB'!B:B)</f>
        <v>25.305</v>
      </c>
      <c r="B91" s="125">
        <f t="shared" si="6"/>
        <v>12.650069156293224</v>
      </c>
      <c r="C91" s="126">
        <f t="shared" si="7"/>
        <v>12.65</v>
      </c>
      <c r="D91" s="407" t="s">
        <v>832</v>
      </c>
      <c r="E91" s="404" t="s">
        <v>855</v>
      </c>
      <c r="F91" s="406">
        <v>320.11</v>
      </c>
      <c r="G91" s="406">
        <v>12.65</v>
      </c>
      <c r="H91" s="404" t="s">
        <v>15</v>
      </c>
      <c r="I91" s="404" t="s">
        <v>1067</v>
      </c>
      <c r="J91" s="336" t="s">
        <v>1677</v>
      </c>
      <c r="K91" s="405" t="s">
        <v>866</v>
      </c>
      <c r="L91" s="336" t="s">
        <v>1084</v>
      </c>
      <c r="M91" s="336" t="s">
        <v>869</v>
      </c>
      <c r="N91" s="403"/>
      <c r="O91" s="336" t="s">
        <v>832</v>
      </c>
      <c r="P91" s="336" t="s">
        <v>800</v>
      </c>
      <c r="Q91" s="408">
        <v>320.11</v>
      </c>
      <c r="R91" s="408">
        <v>12.65</v>
      </c>
      <c r="S91" s="405" t="s">
        <v>15</v>
      </c>
      <c r="T91" s="405" t="s">
        <v>1686</v>
      </c>
      <c r="U91" s="403"/>
      <c r="V91" s="403"/>
      <c r="W91" s="403"/>
      <c r="X91" s="403"/>
      <c r="Y91" s="403"/>
      <c r="Z91" s="403"/>
      <c r="AA91" s="408">
        <v>320.11</v>
      </c>
      <c r="AB91" s="403"/>
    </row>
    <row r="92" spans="1:28" hidden="1" x14ac:dyDescent="0.3">
      <c r="A92" s="391">
        <f>SUMIF('kurzy ČNB'!A:A,'jb IFRS'!J92,'kurzy ČNB'!B:B)</f>
        <v>25.155000000000001</v>
      </c>
      <c r="B92" s="125">
        <f t="shared" si="6"/>
        <v>-275.14211886304906</v>
      </c>
      <c r="C92" s="126">
        <f t="shared" si="7"/>
        <v>-284</v>
      </c>
      <c r="D92" s="407" t="s">
        <v>800</v>
      </c>
      <c r="E92" s="404" t="s">
        <v>853</v>
      </c>
      <c r="F92" s="406">
        <v>-6921.2</v>
      </c>
      <c r="G92" s="406">
        <v>-284</v>
      </c>
      <c r="H92" s="404" t="s">
        <v>15</v>
      </c>
      <c r="I92" s="404" t="s">
        <v>1085</v>
      </c>
      <c r="J92" s="336" t="s">
        <v>1689</v>
      </c>
      <c r="K92" s="405" t="s">
        <v>866</v>
      </c>
      <c r="L92" s="336" t="s">
        <v>1087</v>
      </c>
      <c r="M92" s="336" t="s">
        <v>1690</v>
      </c>
      <c r="N92" s="336" t="s">
        <v>1483</v>
      </c>
      <c r="O92" s="336" t="s">
        <v>802</v>
      </c>
      <c r="P92" s="336" t="s">
        <v>800</v>
      </c>
      <c r="Q92" s="408">
        <v>6921.2</v>
      </c>
      <c r="R92" s="408">
        <v>284</v>
      </c>
      <c r="S92" s="405" t="s">
        <v>15</v>
      </c>
      <c r="T92" s="405" t="s">
        <v>1691</v>
      </c>
      <c r="U92" s="336" t="s">
        <v>1680</v>
      </c>
      <c r="V92" s="403"/>
      <c r="W92" s="403"/>
      <c r="X92" s="403"/>
      <c r="Y92" s="403"/>
      <c r="Z92" s="403"/>
      <c r="AA92" s="403"/>
      <c r="AB92" s="408">
        <v>6921.2</v>
      </c>
    </row>
    <row r="93" spans="1:28" hidden="1" x14ac:dyDescent="0.3">
      <c r="A93" s="391">
        <f>SUMIF('kurzy ČNB'!A:A,'jb IFRS'!J93,'kurzy ČNB'!B:B)</f>
        <v>25.155000000000001</v>
      </c>
      <c r="B93" s="125">
        <f t="shared" si="6"/>
        <v>275.14211886304906</v>
      </c>
      <c r="C93" s="126">
        <f t="shared" si="7"/>
        <v>284</v>
      </c>
      <c r="D93" s="407" t="s">
        <v>802</v>
      </c>
      <c r="E93" s="404" t="s">
        <v>855</v>
      </c>
      <c r="F93" s="406">
        <v>6921.2</v>
      </c>
      <c r="G93" s="406">
        <v>284</v>
      </c>
      <c r="H93" s="404" t="s">
        <v>15</v>
      </c>
      <c r="I93" s="404" t="s">
        <v>1085</v>
      </c>
      <c r="J93" s="336" t="s">
        <v>1689</v>
      </c>
      <c r="K93" s="405" t="s">
        <v>866</v>
      </c>
      <c r="L93" s="336" t="s">
        <v>1087</v>
      </c>
      <c r="M93" s="336" t="s">
        <v>1690</v>
      </c>
      <c r="N93" s="336" t="s">
        <v>1483</v>
      </c>
      <c r="O93" s="336" t="s">
        <v>802</v>
      </c>
      <c r="P93" s="336" t="s">
        <v>800</v>
      </c>
      <c r="Q93" s="408">
        <v>6921.2</v>
      </c>
      <c r="R93" s="408">
        <v>284</v>
      </c>
      <c r="S93" s="405" t="s">
        <v>15</v>
      </c>
      <c r="T93" s="405" t="s">
        <v>1691</v>
      </c>
      <c r="U93" s="336" t="s">
        <v>1680</v>
      </c>
      <c r="V93" s="403"/>
      <c r="W93" s="403"/>
      <c r="X93" s="403"/>
      <c r="Y93" s="403"/>
      <c r="Z93" s="403"/>
      <c r="AA93" s="408">
        <v>6921.2</v>
      </c>
      <c r="AB93" s="403"/>
    </row>
    <row r="94" spans="1:28" hidden="1" x14ac:dyDescent="0.3">
      <c r="A94" s="391">
        <f>SUMIF('kurzy ČNB'!A:A,'jb IFRS'!J94,'kurzy ČNB'!B:B)</f>
        <v>25.145</v>
      </c>
      <c r="B94" s="125">
        <f t="shared" si="6"/>
        <v>-3026.9421356134417</v>
      </c>
      <c r="C94" s="126">
        <f t="shared" si="7"/>
        <v>-3001.2799999999997</v>
      </c>
      <c r="D94" s="407" t="s">
        <v>802</v>
      </c>
      <c r="E94" s="404" t="s">
        <v>853</v>
      </c>
      <c r="F94" s="406">
        <v>-76112.459999999992</v>
      </c>
      <c r="G94" s="406">
        <v>-3001.2799999999997</v>
      </c>
      <c r="H94" s="404" t="s">
        <v>15</v>
      </c>
      <c r="I94" s="404" t="s">
        <v>1085</v>
      </c>
      <c r="J94" s="336" t="s">
        <v>1692</v>
      </c>
      <c r="K94" s="405" t="s">
        <v>856</v>
      </c>
      <c r="L94" s="336" t="s">
        <v>1693</v>
      </c>
      <c r="M94" s="336" t="s">
        <v>1637</v>
      </c>
      <c r="N94" s="336" t="s">
        <v>1483</v>
      </c>
      <c r="O94" s="336" t="s">
        <v>826</v>
      </c>
      <c r="P94" s="336" t="s">
        <v>802</v>
      </c>
      <c r="Q94" s="408">
        <v>76112.459999999992</v>
      </c>
      <c r="R94" s="408">
        <v>3001.2799999999997</v>
      </c>
      <c r="S94" s="405" t="s">
        <v>15</v>
      </c>
      <c r="T94" s="405" t="s">
        <v>1663</v>
      </c>
      <c r="U94" s="336" t="s">
        <v>1694</v>
      </c>
      <c r="V94" s="403"/>
      <c r="W94" s="403"/>
      <c r="X94" s="403"/>
      <c r="Y94" s="403"/>
      <c r="Z94" s="403"/>
      <c r="AA94" s="403"/>
      <c r="AB94" s="408">
        <v>76112.459999999992</v>
      </c>
    </row>
    <row r="95" spans="1:28" hidden="1" x14ac:dyDescent="0.3">
      <c r="A95" s="391">
        <f>SUMIF('kurzy ČNB'!A:A,'jb IFRS'!J95,'kurzy ČNB'!B:B)</f>
        <v>25.145</v>
      </c>
      <c r="B95" s="125">
        <f t="shared" si="6"/>
        <v>3026.9421356134417</v>
      </c>
      <c r="C95" s="126">
        <f t="shared" si="7"/>
        <v>3001.2799999999997</v>
      </c>
      <c r="D95" s="407" t="s">
        <v>826</v>
      </c>
      <c r="E95" s="404" t="s">
        <v>855</v>
      </c>
      <c r="F95" s="406">
        <v>76112.459999999992</v>
      </c>
      <c r="G95" s="406">
        <v>3001.2799999999997</v>
      </c>
      <c r="H95" s="404" t="s">
        <v>15</v>
      </c>
      <c r="I95" s="404" t="s">
        <v>1085</v>
      </c>
      <c r="J95" s="336" t="s">
        <v>1692</v>
      </c>
      <c r="K95" s="405" t="s">
        <v>856</v>
      </c>
      <c r="L95" s="336" t="s">
        <v>1693</v>
      </c>
      <c r="M95" s="336" t="s">
        <v>1637</v>
      </c>
      <c r="N95" s="336" t="s">
        <v>1483</v>
      </c>
      <c r="O95" s="336" t="s">
        <v>826</v>
      </c>
      <c r="P95" s="336" t="s">
        <v>802</v>
      </c>
      <c r="Q95" s="408">
        <v>76112.459999999992</v>
      </c>
      <c r="R95" s="408">
        <v>3001.2799999999997</v>
      </c>
      <c r="S95" s="405" t="s">
        <v>15</v>
      </c>
      <c r="T95" s="405" t="s">
        <v>1663</v>
      </c>
      <c r="U95" s="336" t="s">
        <v>1694</v>
      </c>
      <c r="V95" s="403"/>
      <c r="W95" s="403"/>
      <c r="X95" s="403"/>
      <c r="Y95" s="403"/>
      <c r="Z95" s="403"/>
      <c r="AA95" s="408">
        <v>76112.459999999992</v>
      </c>
      <c r="AB95" s="403"/>
    </row>
    <row r="96" spans="1:28" hidden="1" x14ac:dyDescent="0.3">
      <c r="A96" s="391">
        <f>SUMIF('kurzy ČNB'!A:A,'jb IFRS'!J96,'kurzy ČNB'!B:B)</f>
        <v>25.145</v>
      </c>
      <c r="B96" s="125">
        <f t="shared" si="6"/>
        <v>-275.25154106184129</v>
      </c>
      <c r="C96" s="126">
        <f t="shared" si="7"/>
        <v>-275.25154106184129</v>
      </c>
      <c r="D96" s="407" t="s">
        <v>802</v>
      </c>
      <c r="E96" s="404" t="s">
        <v>853</v>
      </c>
      <c r="F96" s="406">
        <v>-6921.2</v>
      </c>
      <c r="G96" s="406">
        <v>0</v>
      </c>
      <c r="H96" s="403"/>
      <c r="I96" s="404" t="s">
        <v>1085</v>
      </c>
      <c r="J96" s="336" t="s">
        <v>1692</v>
      </c>
      <c r="K96" s="405" t="s">
        <v>856</v>
      </c>
      <c r="L96" s="336" t="s">
        <v>1695</v>
      </c>
      <c r="M96" s="336" t="s">
        <v>1696</v>
      </c>
      <c r="N96" s="336" t="s">
        <v>1483</v>
      </c>
      <c r="O96" s="336" t="s">
        <v>826</v>
      </c>
      <c r="P96" s="336" t="s">
        <v>802</v>
      </c>
      <c r="Q96" s="408">
        <v>6921.2</v>
      </c>
      <c r="R96" s="408">
        <v>0</v>
      </c>
      <c r="S96" s="403"/>
      <c r="T96" s="403"/>
      <c r="U96" s="336" t="s">
        <v>1697</v>
      </c>
      <c r="V96" s="403"/>
      <c r="W96" s="403"/>
      <c r="X96" s="403"/>
      <c r="Y96" s="403"/>
      <c r="Z96" s="403"/>
      <c r="AA96" s="403"/>
      <c r="AB96" s="408">
        <v>6921.2</v>
      </c>
    </row>
    <row r="97" spans="1:28" hidden="1" x14ac:dyDescent="0.3">
      <c r="A97" s="391">
        <f>SUMIF('kurzy ČNB'!A:A,'jb IFRS'!J97,'kurzy ČNB'!B:B)</f>
        <v>25.145</v>
      </c>
      <c r="B97" s="125">
        <f t="shared" si="6"/>
        <v>275.25154106184129</v>
      </c>
      <c r="C97" s="126">
        <f t="shared" si="7"/>
        <v>275.25154106184129</v>
      </c>
      <c r="D97" s="407" t="s">
        <v>826</v>
      </c>
      <c r="E97" s="404" t="s">
        <v>855</v>
      </c>
      <c r="F97" s="406">
        <v>6921.2</v>
      </c>
      <c r="G97" s="406">
        <v>0</v>
      </c>
      <c r="H97" s="403"/>
      <c r="I97" s="404" t="s">
        <v>1085</v>
      </c>
      <c r="J97" s="336" t="s">
        <v>1692</v>
      </c>
      <c r="K97" s="405" t="s">
        <v>856</v>
      </c>
      <c r="L97" s="336" t="s">
        <v>1695</v>
      </c>
      <c r="M97" s="336" t="s">
        <v>1696</v>
      </c>
      <c r="N97" s="336" t="s">
        <v>1483</v>
      </c>
      <c r="O97" s="336" t="s">
        <v>826</v>
      </c>
      <c r="P97" s="336" t="s">
        <v>802</v>
      </c>
      <c r="Q97" s="408">
        <v>6921.2</v>
      </c>
      <c r="R97" s="408">
        <v>0</v>
      </c>
      <c r="S97" s="403"/>
      <c r="T97" s="403"/>
      <c r="U97" s="336" t="s">
        <v>1697</v>
      </c>
      <c r="V97" s="403"/>
      <c r="W97" s="403"/>
      <c r="X97" s="403"/>
      <c r="Y97" s="403"/>
      <c r="Z97" s="403"/>
      <c r="AA97" s="408">
        <v>6921.2</v>
      </c>
      <c r="AB97" s="403"/>
    </row>
    <row r="98" spans="1:28" hidden="1" x14ac:dyDescent="0.3">
      <c r="A98" s="391">
        <f>SUMIF('kurzy ČNB'!A:A,'jb IFRS'!J98,'kurzy ČNB'!B:B)</f>
        <v>25.145</v>
      </c>
      <c r="B98" s="125">
        <f t="shared" si="6"/>
        <v>-122200.3901372042</v>
      </c>
      <c r="C98" s="126">
        <f t="shared" si="7"/>
        <v>-122200.39</v>
      </c>
      <c r="D98" s="407" t="s">
        <v>834</v>
      </c>
      <c r="E98" s="404" t="s">
        <v>853</v>
      </c>
      <c r="F98" s="406">
        <v>-3072728.8099999996</v>
      </c>
      <c r="G98" s="406">
        <v>-122200.39</v>
      </c>
      <c r="H98" s="404" t="s">
        <v>15</v>
      </c>
      <c r="I98" s="404" t="s">
        <v>1085</v>
      </c>
      <c r="J98" s="336" t="s">
        <v>1692</v>
      </c>
      <c r="K98" s="405" t="s">
        <v>865</v>
      </c>
      <c r="L98" s="336" t="s">
        <v>1698</v>
      </c>
      <c r="M98" s="336" t="s">
        <v>1699</v>
      </c>
      <c r="N98" s="403"/>
      <c r="O98" s="336" t="s">
        <v>772</v>
      </c>
      <c r="P98" s="336" t="s">
        <v>834</v>
      </c>
      <c r="Q98" s="408">
        <v>3072728.8099999996</v>
      </c>
      <c r="R98" s="408">
        <v>122200.39</v>
      </c>
      <c r="S98" s="405" t="s">
        <v>15</v>
      </c>
      <c r="T98" s="405" t="s">
        <v>1700</v>
      </c>
      <c r="U98" s="336" t="s">
        <v>1518</v>
      </c>
      <c r="V98" s="403"/>
      <c r="W98" s="403"/>
      <c r="X98" s="403"/>
      <c r="Y98" s="403"/>
      <c r="Z98" s="403"/>
      <c r="AA98" s="403"/>
      <c r="AB98" s="408">
        <v>3072728.8099999996</v>
      </c>
    </row>
    <row r="99" spans="1:28" hidden="1" x14ac:dyDescent="0.3">
      <c r="A99" s="391">
        <f>SUMIF('kurzy ČNB'!A:A,'jb IFRS'!J99,'kurzy ČNB'!B:B)</f>
        <v>25.145</v>
      </c>
      <c r="B99" s="125">
        <f t="shared" si="6"/>
        <v>122200.3901372042</v>
      </c>
      <c r="C99" s="126">
        <f t="shared" si="7"/>
        <v>122200.39</v>
      </c>
      <c r="D99" s="407" t="s">
        <v>772</v>
      </c>
      <c r="E99" s="404" t="s">
        <v>855</v>
      </c>
      <c r="F99" s="406">
        <v>3072728.8099999996</v>
      </c>
      <c r="G99" s="406">
        <v>122200.39</v>
      </c>
      <c r="H99" s="404" t="s">
        <v>15</v>
      </c>
      <c r="I99" s="404" t="s">
        <v>1085</v>
      </c>
      <c r="J99" s="336" t="s">
        <v>1692</v>
      </c>
      <c r="K99" s="405" t="s">
        <v>865</v>
      </c>
      <c r="L99" s="336" t="s">
        <v>1698</v>
      </c>
      <c r="M99" s="336" t="s">
        <v>1699</v>
      </c>
      <c r="N99" s="403"/>
      <c r="O99" s="336" t="s">
        <v>772</v>
      </c>
      <c r="P99" s="336" t="s">
        <v>834</v>
      </c>
      <c r="Q99" s="408">
        <v>3072728.8099999996</v>
      </c>
      <c r="R99" s="408">
        <v>122200.39</v>
      </c>
      <c r="S99" s="405" t="s">
        <v>15</v>
      </c>
      <c r="T99" s="405" t="s">
        <v>1700</v>
      </c>
      <c r="U99" s="336" t="s">
        <v>1518</v>
      </c>
      <c r="V99" s="403"/>
      <c r="W99" s="403"/>
      <c r="X99" s="403"/>
      <c r="Y99" s="403"/>
      <c r="Z99" s="403"/>
      <c r="AA99" s="408">
        <v>3072728.8099999996</v>
      </c>
      <c r="AB99" s="403"/>
    </row>
    <row r="100" spans="1:28" hidden="1" x14ac:dyDescent="0.3">
      <c r="A100" s="391">
        <f>SUMIF('kurzy ČNB'!A:A,'jb IFRS'!J100,'kurzy ČNB'!B:B)</f>
        <v>25.145</v>
      </c>
      <c r="B100" s="125">
        <f t="shared" si="6"/>
        <v>-114759.85006959633</v>
      </c>
      <c r="C100" s="126">
        <f t="shared" si="7"/>
        <v>-114759.85</v>
      </c>
      <c r="D100" s="407" t="s">
        <v>818</v>
      </c>
      <c r="E100" s="404" t="s">
        <v>853</v>
      </c>
      <c r="F100" s="406">
        <v>-2885636.4299999997</v>
      </c>
      <c r="G100" s="406">
        <v>-114759.85</v>
      </c>
      <c r="H100" s="404" t="s">
        <v>15</v>
      </c>
      <c r="I100" s="404" t="s">
        <v>1085</v>
      </c>
      <c r="J100" s="336" t="s">
        <v>1692</v>
      </c>
      <c r="K100" s="405" t="s">
        <v>865</v>
      </c>
      <c r="L100" s="336" t="s">
        <v>1701</v>
      </c>
      <c r="M100" s="336" t="s">
        <v>1702</v>
      </c>
      <c r="N100" s="403"/>
      <c r="O100" s="336" t="s">
        <v>828</v>
      </c>
      <c r="P100" s="336" t="s">
        <v>818</v>
      </c>
      <c r="Q100" s="408">
        <v>2885636.4299999997</v>
      </c>
      <c r="R100" s="408">
        <v>114759.85</v>
      </c>
      <c r="S100" s="405" t="s">
        <v>15</v>
      </c>
      <c r="T100" s="405" t="s">
        <v>1700</v>
      </c>
      <c r="U100" s="336" t="s">
        <v>1517</v>
      </c>
      <c r="V100" s="403"/>
      <c r="W100" s="403"/>
      <c r="X100" s="403"/>
      <c r="Y100" s="403"/>
      <c r="Z100" s="403"/>
      <c r="AA100" s="403"/>
      <c r="AB100" s="408">
        <v>2885636.4299999997</v>
      </c>
    </row>
    <row r="101" spans="1:28" hidden="1" x14ac:dyDescent="0.3">
      <c r="A101" s="391">
        <f>SUMIF('kurzy ČNB'!A:A,'jb IFRS'!J101,'kurzy ČNB'!B:B)</f>
        <v>25.145</v>
      </c>
      <c r="B101" s="125">
        <f t="shared" si="6"/>
        <v>114759.85006959633</v>
      </c>
      <c r="C101" s="126">
        <f t="shared" si="7"/>
        <v>114759.85</v>
      </c>
      <c r="D101" s="407" t="s">
        <v>828</v>
      </c>
      <c r="E101" s="404" t="s">
        <v>855</v>
      </c>
      <c r="F101" s="406">
        <v>2885636.4299999997</v>
      </c>
      <c r="G101" s="406">
        <v>114759.85</v>
      </c>
      <c r="H101" s="404" t="s">
        <v>15</v>
      </c>
      <c r="I101" s="404" t="s">
        <v>1085</v>
      </c>
      <c r="J101" s="336" t="s">
        <v>1692</v>
      </c>
      <c r="K101" s="405" t="s">
        <v>865</v>
      </c>
      <c r="L101" s="336" t="s">
        <v>1701</v>
      </c>
      <c r="M101" s="336" t="s">
        <v>1702</v>
      </c>
      <c r="N101" s="403"/>
      <c r="O101" s="336" t="s">
        <v>828</v>
      </c>
      <c r="P101" s="336" t="s">
        <v>818</v>
      </c>
      <c r="Q101" s="408">
        <v>2885636.4299999997</v>
      </c>
      <c r="R101" s="408">
        <v>114759.85</v>
      </c>
      <c r="S101" s="405" t="s">
        <v>15</v>
      </c>
      <c r="T101" s="405" t="s">
        <v>1700</v>
      </c>
      <c r="U101" s="336" t="s">
        <v>1517</v>
      </c>
      <c r="V101" s="403"/>
      <c r="W101" s="403"/>
      <c r="X101" s="403"/>
      <c r="Y101" s="403"/>
      <c r="Z101" s="403"/>
      <c r="AA101" s="408">
        <v>2885636.4299999997</v>
      </c>
      <c r="AB101" s="403"/>
    </row>
    <row r="102" spans="1:28" hidden="1" x14ac:dyDescent="0.3">
      <c r="A102" s="391">
        <f>SUMIF('kurzy ČNB'!A:A,'jb IFRS'!J102,'kurzy ČNB'!B:B)</f>
        <v>25.145</v>
      </c>
      <c r="B102" s="125">
        <f t="shared" si="6"/>
        <v>-0.23980910717836548</v>
      </c>
      <c r="C102" s="126">
        <f t="shared" si="7"/>
        <v>-0.24000000000000002</v>
      </c>
      <c r="D102" s="407" t="s">
        <v>800</v>
      </c>
      <c r="E102" s="404" t="s">
        <v>853</v>
      </c>
      <c r="F102" s="406">
        <v>-6.03</v>
      </c>
      <c r="G102" s="406">
        <v>-0.24000000000000002</v>
      </c>
      <c r="H102" s="404" t="s">
        <v>15</v>
      </c>
      <c r="I102" s="404" t="s">
        <v>1085</v>
      </c>
      <c r="J102" s="336" t="s">
        <v>1692</v>
      </c>
      <c r="K102" s="405" t="s">
        <v>866</v>
      </c>
      <c r="L102" s="336" t="s">
        <v>1089</v>
      </c>
      <c r="M102" s="336" t="s">
        <v>869</v>
      </c>
      <c r="N102" s="403"/>
      <c r="O102" s="336" t="s">
        <v>832</v>
      </c>
      <c r="P102" s="336" t="s">
        <v>800</v>
      </c>
      <c r="Q102" s="408">
        <v>6.03</v>
      </c>
      <c r="R102" s="408">
        <v>0.24000000000000002</v>
      </c>
      <c r="S102" s="405" t="s">
        <v>15</v>
      </c>
      <c r="T102" s="405" t="s">
        <v>1700</v>
      </c>
      <c r="U102" s="403"/>
      <c r="V102" s="403"/>
      <c r="W102" s="403"/>
      <c r="X102" s="403"/>
      <c r="Y102" s="403"/>
      <c r="Z102" s="403"/>
      <c r="AA102" s="403"/>
      <c r="AB102" s="408">
        <v>6.03</v>
      </c>
    </row>
    <row r="103" spans="1:28" hidden="1" x14ac:dyDescent="0.3">
      <c r="A103" s="391">
        <f>SUMIF('kurzy ČNB'!A:A,'jb IFRS'!J103,'kurzy ČNB'!B:B)</f>
        <v>25.145</v>
      </c>
      <c r="B103" s="125">
        <f t="shared" si="6"/>
        <v>0.23980910717836548</v>
      </c>
      <c r="C103" s="126">
        <f t="shared" si="7"/>
        <v>0.24000000000000002</v>
      </c>
      <c r="D103" s="407" t="s">
        <v>832</v>
      </c>
      <c r="E103" s="404" t="s">
        <v>855</v>
      </c>
      <c r="F103" s="406">
        <v>6.03</v>
      </c>
      <c r="G103" s="406">
        <v>0.24000000000000002</v>
      </c>
      <c r="H103" s="404" t="s">
        <v>15</v>
      </c>
      <c r="I103" s="404" t="s">
        <v>1085</v>
      </c>
      <c r="J103" s="336" t="s">
        <v>1692</v>
      </c>
      <c r="K103" s="405" t="s">
        <v>866</v>
      </c>
      <c r="L103" s="336" t="s">
        <v>1089</v>
      </c>
      <c r="M103" s="336" t="s">
        <v>869</v>
      </c>
      <c r="N103" s="403"/>
      <c r="O103" s="336" t="s">
        <v>832</v>
      </c>
      <c r="P103" s="336" t="s">
        <v>800</v>
      </c>
      <c r="Q103" s="408">
        <v>6.03</v>
      </c>
      <c r="R103" s="408">
        <v>0.24000000000000002</v>
      </c>
      <c r="S103" s="405" t="s">
        <v>15</v>
      </c>
      <c r="T103" s="405" t="s">
        <v>1700</v>
      </c>
      <c r="U103" s="403"/>
      <c r="V103" s="403"/>
      <c r="W103" s="403"/>
      <c r="X103" s="403"/>
      <c r="Y103" s="403"/>
      <c r="Z103" s="403"/>
      <c r="AA103" s="408">
        <v>6.03</v>
      </c>
      <c r="AB103" s="403"/>
    </row>
    <row r="104" spans="1:28" hidden="1" x14ac:dyDescent="0.3">
      <c r="A104" s="391">
        <f>SUMIF('kurzy ČNB'!A:A,'jb IFRS'!J104,'kurzy ČNB'!B:B)</f>
        <v>25.145</v>
      </c>
      <c r="B104" s="125">
        <f t="shared" si="6"/>
        <v>-1.1898985881885067</v>
      </c>
      <c r="C104" s="126">
        <f t="shared" si="7"/>
        <v>-1.1900000000000002</v>
      </c>
      <c r="D104" s="407" t="s">
        <v>800</v>
      </c>
      <c r="E104" s="404" t="s">
        <v>853</v>
      </c>
      <c r="F104" s="406">
        <v>-29.919999999999998</v>
      </c>
      <c r="G104" s="406">
        <v>-1.1900000000000002</v>
      </c>
      <c r="H104" s="404" t="s">
        <v>15</v>
      </c>
      <c r="I104" s="404" t="s">
        <v>1085</v>
      </c>
      <c r="J104" s="336" t="s">
        <v>1692</v>
      </c>
      <c r="K104" s="405" t="s">
        <v>866</v>
      </c>
      <c r="L104" s="336" t="s">
        <v>1090</v>
      </c>
      <c r="M104" s="336" t="s">
        <v>869</v>
      </c>
      <c r="N104" s="403"/>
      <c r="O104" s="336" t="s">
        <v>832</v>
      </c>
      <c r="P104" s="336" t="s">
        <v>800</v>
      </c>
      <c r="Q104" s="408">
        <v>29.919999999999998</v>
      </c>
      <c r="R104" s="408">
        <v>1.1900000000000002</v>
      </c>
      <c r="S104" s="405" t="s">
        <v>15</v>
      </c>
      <c r="T104" s="405" t="s">
        <v>1700</v>
      </c>
      <c r="U104" s="403"/>
      <c r="V104" s="403"/>
      <c r="W104" s="403"/>
      <c r="X104" s="403"/>
      <c r="Y104" s="403"/>
      <c r="Z104" s="403"/>
      <c r="AA104" s="403"/>
      <c r="AB104" s="408">
        <v>29.919999999999998</v>
      </c>
    </row>
    <row r="105" spans="1:28" hidden="1" x14ac:dyDescent="0.3">
      <c r="A105" s="391">
        <f>SUMIF('kurzy ČNB'!A:A,'jb IFRS'!J105,'kurzy ČNB'!B:B)</f>
        <v>25.145</v>
      </c>
      <c r="B105" s="125">
        <f t="shared" si="6"/>
        <v>1.1898985881885067</v>
      </c>
      <c r="C105" s="126">
        <f t="shared" si="7"/>
        <v>1.1900000000000002</v>
      </c>
      <c r="D105" s="407" t="s">
        <v>832</v>
      </c>
      <c r="E105" s="404" t="s">
        <v>855</v>
      </c>
      <c r="F105" s="406">
        <v>29.919999999999998</v>
      </c>
      <c r="G105" s="406">
        <v>1.1900000000000002</v>
      </c>
      <c r="H105" s="404" t="s">
        <v>15</v>
      </c>
      <c r="I105" s="404" t="s">
        <v>1085</v>
      </c>
      <c r="J105" s="336" t="s">
        <v>1692</v>
      </c>
      <c r="K105" s="405" t="s">
        <v>866</v>
      </c>
      <c r="L105" s="336" t="s">
        <v>1090</v>
      </c>
      <c r="M105" s="336" t="s">
        <v>869</v>
      </c>
      <c r="N105" s="403"/>
      <c r="O105" s="336" t="s">
        <v>832</v>
      </c>
      <c r="P105" s="336" t="s">
        <v>800</v>
      </c>
      <c r="Q105" s="408">
        <v>29.919999999999998</v>
      </c>
      <c r="R105" s="408">
        <v>1.1900000000000002</v>
      </c>
      <c r="S105" s="405" t="s">
        <v>15</v>
      </c>
      <c r="T105" s="405" t="s">
        <v>1700</v>
      </c>
      <c r="U105" s="403"/>
      <c r="V105" s="403"/>
      <c r="W105" s="403"/>
      <c r="X105" s="403"/>
      <c r="Y105" s="403"/>
      <c r="Z105" s="403"/>
      <c r="AA105" s="408">
        <v>29.919999999999998</v>
      </c>
      <c r="AB105" s="403"/>
    </row>
    <row r="106" spans="1:28" hidden="1" x14ac:dyDescent="0.3">
      <c r="A106" s="391">
        <f>SUMIF('kurzy ČNB'!A:A,'jb IFRS'!J106,'kurzy ČNB'!B:B)</f>
        <v>25.145</v>
      </c>
      <c r="B106" s="125">
        <f t="shared" si="6"/>
        <v>-7.7498508649830979</v>
      </c>
      <c r="C106" s="126">
        <f t="shared" si="7"/>
        <v>-7.75</v>
      </c>
      <c r="D106" s="407" t="s">
        <v>800</v>
      </c>
      <c r="E106" s="404" t="s">
        <v>853</v>
      </c>
      <c r="F106" s="406">
        <v>-194.87</v>
      </c>
      <c r="G106" s="406">
        <v>-7.75</v>
      </c>
      <c r="H106" s="404" t="s">
        <v>15</v>
      </c>
      <c r="I106" s="404" t="s">
        <v>1085</v>
      </c>
      <c r="J106" s="336" t="s">
        <v>1692</v>
      </c>
      <c r="K106" s="405" t="s">
        <v>866</v>
      </c>
      <c r="L106" s="336" t="s">
        <v>1092</v>
      </c>
      <c r="M106" s="336" t="s">
        <v>869</v>
      </c>
      <c r="N106" s="403"/>
      <c r="O106" s="336" t="s">
        <v>832</v>
      </c>
      <c r="P106" s="336" t="s">
        <v>800</v>
      </c>
      <c r="Q106" s="408">
        <v>194.87</v>
      </c>
      <c r="R106" s="408">
        <v>7.75</v>
      </c>
      <c r="S106" s="405" t="s">
        <v>15</v>
      </c>
      <c r="T106" s="405" t="s">
        <v>1700</v>
      </c>
      <c r="U106" s="403"/>
      <c r="V106" s="403"/>
      <c r="W106" s="403"/>
      <c r="X106" s="403"/>
      <c r="Y106" s="403"/>
      <c r="Z106" s="403"/>
      <c r="AA106" s="403"/>
      <c r="AB106" s="408">
        <v>194.87</v>
      </c>
    </row>
    <row r="107" spans="1:28" hidden="1" x14ac:dyDescent="0.3">
      <c r="A107" s="391">
        <f>SUMIF('kurzy ČNB'!A:A,'jb IFRS'!J107,'kurzy ČNB'!B:B)</f>
        <v>25.145</v>
      </c>
      <c r="B107" s="125">
        <f t="shared" si="6"/>
        <v>7.7498508649830979</v>
      </c>
      <c r="C107" s="126">
        <f t="shared" si="7"/>
        <v>7.75</v>
      </c>
      <c r="D107" s="407" t="s">
        <v>832</v>
      </c>
      <c r="E107" s="404" t="s">
        <v>855</v>
      </c>
      <c r="F107" s="406">
        <v>194.87</v>
      </c>
      <c r="G107" s="406">
        <v>7.75</v>
      </c>
      <c r="H107" s="404" t="s">
        <v>15</v>
      </c>
      <c r="I107" s="404" t="s">
        <v>1085</v>
      </c>
      <c r="J107" s="336" t="s">
        <v>1692</v>
      </c>
      <c r="K107" s="405" t="s">
        <v>866</v>
      </c>
      <c r="L107" s="336" t="s">
        <v>1092</v>
      </c>
      <c r="M107" s="336" t="s">
        <v>869</v>
      </c>
      <c r="N107" s="403"/>
      <c r="O107" s="336" t="s">
        <v>832</v>
      </c>
      <c r="P107" s="336" t="s">
        <v>800</v>
      </c>
      <c r="Q107" s="408">
        <v>194.87</v>
      </c>
      <c r="R107" s="408">
        <v>7.75</v>
      </c>
      <c r="S107" s="405" t="s">
        <v>15</v>
      </c>
      <c r="T107" s="405" t="s">
        <v>1700</v>
      </c>
      <c r="U107" s="403"/>
      <c r="V107" s="403"/>
      <c r="W107" s="403"/>
      <c r="X107" s="403"/>
      <c r="Y107" s="403"/>
      <c r="Z107" s="403"/>
      <c r="AA107" s="408">
        <v>194.87</v>
      </c>
      <c r="AB107" s="403"/>
    </row>
    <row r="108" spans="1:28" hidden="1" x14ac:dyDescent="0.3">
      <c r="A108" s="391">
        <f>SUMIF('kurzy ČNB'!A:A,'jb IFRS'!J108,'kurzy ČNB'!B:B)</f>
        <v>25.145</v>
      </c>
      <c r="B108" s="125">
        <f t="shared" si="6"/>
        <v>-12.719825014913503</v>
      </c>
      <c r="C108" s="126">
        <f t="shared" si="7"/>
        <v>-12.719999999999999</v>
      </c>
      <c r="D108" s="407" t="s">
        <v>800</v>
      </c>
      <c r="E108" s="404" t="s">
        <v>853</v>
      </c>
      <c r="F108" s="406">
        <v>-319.84000000000003</v>
      </c>
      <c r="G108" s="406">
        <v>-12.719999999999999</v>
      </c>
      <c r="H108" s="404" t="s">
        <v>15</v>
      </c>
      <c r="I108" s="404" t="s">
        <v>1085</v>
      </c>
      <c r="J108" s="336" t="s">
        <v>1692</v>
      </c>
      <c r="K108" s="405" t="s">
        <v>866</v>
      </c>
      <c r="L108" s="336" t="s">
        <v>1094</v>
      </c>
      <c r="M108" s="336" t="s">
        <v>869</v>
      </c>
      <c r="N108" s="403"/>
      <c r="O108" s="336" t="s">
        <v>832</v>
      </c>
      <c r="P108" s="336" t="s">
        <v>800</v>
      </c>
      <c r="Q108" s="408">
        <v>319.84000000000003</v>
      </c>
      <c r="R108" s="408">
        <v>12.719999999999999</v>
      </c>
      <c r="S108" s="405" t="s">
        <v>15</v>
      </c>
      <c r="T108" s="405" t="s">
        <v>1700</v>
      </c>
      <c r="U108" s="403"/>
      <c r="V108" s="403"/>
      <c r="W108" s="403"/>
      <c r="X108" s="403"/>
      <c r="Y108" s="403"/>
      <c r="Z108" s="403"/>
      <c r="AA108" s="403"/>
      <c r="AB108" s="408">
        <v>319.84000000000003</v>
      </c>
    </row>
    <row r="109" spans="1:28" hidden="1" x14ac:dyDescent="0.3">
      <c r="A109" s="391">
        <f>SUMIF('kurzy ČNB'!A:A,'jb IFRS'!J109,'kurzy ČNB'!B:B)</f>
        <v>25.145</v>
      </c>
      <c r="B109" s="125">
        <f t="shared" si="6"/>
        <v>12.719825014913503</v>
      </c>
      <c r="C109" s="126">
        <f t="shared" si="7"/>
        <v>12.719999999999999</v>
      </c>
      <c r="D109" s="407" t="s">
        <v>832</v>
      </c>
      <c r="E109" s="404" t="s">
        <v>855</v>
      </c>
      <c r="F109" s="406">
        <v>319.84000000000003</v>
      </c>
      <c r="G109" s="406">
        <v>12.719999999999999</v>
      </c>
      <c r="H109" s="404" t="s">
        <v>15</v>
      </c>
      <c r="I109" s="404" t="s">
        <v>1085</v>
      </c>
      <c r="J109" s="336" t="s">
        <v>1692</v>
      </c>
      <c r="K109" s="405" t="s">
        <v>866</v>
      </c>
      <c r="L109" s="336" t="s">
        <v>1094</v>
      </c>
      <c r="M109" s="336" t="s">
        <v>869</v>
      </c>
      <c r="N109" s="403"/>
      <c r="O109" s="336" t="s">
        <v>832</v>
      </c>
      <c r="P109" s="336" t="s">
        <v>800</v>
      </c>
      <c r="Q109" s="408">
        <v>319.84000000000003</v>
      </c>
      <c r="R109" s="408">
        <v>12.719999999999999</v>
      </c>
      <c r="S109" s="405" t="s">
        <v>15</v>
      </c>
      <c r="T109" s="405" t="s">
        <v>1700</v>
      </c>
      <c r="U109" s="403"/>
      <c r="V109" s="403"/>
      <c r="W109" s="403"/>
      <c r="X109" s="403"/>
      <c r="Y109" s="403"/>
      <c r="Z109" s="403"/>
      <c r="AA109" s="408">
        <v>319.84000000000003</v>
      </c>
      <c r="AB109" s="403"/>
    </row>
    <row r="110" spans="1:28" hidden="1" x14ac:dyDescent="0.3">
      <c r="A110" s="391">
        <f>SUMIF('kurzy ČNB'!A:A,'jb IFRS'!J110,'kurzy ČNB'!B:B)</f>
        <v>24.754999999999999</v>
      </c>
      <c r="B110" s="125">
        <f t="shared" si="6"/>
        <v>-0.23995152494445568</v>
      </c>
      <c r="C110" s="126">
        <f t="shared" si="7"/>
        <v>-0.24000000000000002</v>
      </c>
      <c r="D110" s="407" t="s">
        <v>800</v>
      </c>
      <c r="E110" s="404" t="s">
        <v>853</v>
      </c>
      <c r="F110" s="406">
        <v>-5.94</v>
      </c>
      <c r="G110" s="406">
        <v>-0.24000000000000002</v>
      </c>
      <c r="H110" s="404" t="s">
        <v>15</v>
      </c>
      <c r="I110" s="404" t="s">
        <v>1103</v>
      </c>
      <c r="J110" s="336" t="s">
        <v>1703</v>
      </c>
      <c r="K110" s="405" t="s">
        <v>866</v>
      </c>
      <c r="L110" s="336" t="s">
        <v>1105</v>
      </c>
      <c r="M110" s="336" t="s">
        <v>869</v>
      </c>
      <c r="N110" s="403"/>
      <c r="O110" s="336" t="s">
        <v>832</v>
      </c>
      <c r="P110" s="336" t="s">
        <v>800</v>
      </c>
      <c r="Q110" s="408">
        <v>5.94</v>
      </c>
      <c r="R110" s="408">
        <v>0.24000000000000002</v>
      </c>
      <c r="S110" s="405" t="s">
        <v>15</v>
      </c>
      <c r="T110" s="405" t="s">
        <v>1704</v>
      </c>
      <c r="U110" s="403"/>
      <c r="V110" s="403"/>
      <c r="W110" s="403"/>
      <c r="X110" s="403"/>
      <c r="Y110" s="403"/>
      <c r="Z110" s="403"/>
      <c r="AA110" s="403"/>
      <c r="AB110" s="408">
        <v>5.94</v>
      </c>
    </row>
    <row r="111" spans="1:28" hidden="1" x14ac:dyDescent="0.3">
      <c r="A111" s="391">
        <f>SUMIF('kurzy ČNB'!A:A,'jb IFRS'!J111,'kurzy ČNB'!B:B)</f>
        <v>24.754999999999999</v>
      </c>
      <c r="B111" s="125">
        <f t="shared" si="6"/>
        <v>0.23995152494445568</v>
      </c>
      <c r="C111" s="126">
        <f t="shared" si="7"/>
        <v>0.24000000000000002</v>
      </c>
      <c r="D111" s="407" t="s">
        <v>832</v>
      </c>
      <c r="E111" s="404" t="s">
        <v>855</v>
      </c>
      <c r="F111" s="406">
        <v>5.94</v>
      </c>
      <c r="G111" s="406">
        <v>0.24000000000000002</v>
      </c>
      <c r="H111" s="404" t="s">
        <v>15</v>
      </c>
      <c r="I111" s="404" t="s">
        <v>1103</v>
      </c>
      <c r="J111" s="336" t="s">
        <v>1703</v>
      </c>
      <c r="K111" s="405" t="s">
        <v>866</v>
      </c>
      <c r="L111" s="336" t="s">
        <v>1105</v>
      </c>
      <c r="M111" s="336" t="s">
        <v>869</v>
      </c>
      <c r="N111" s="403"/>
      <c r="O111" s="336" t="s">
        <v>832</v>
      </c>
      <c r="P111" s="336" t="s">
        <v>800</v>
      </c>
      <c r="Q111" s="408">
        <v>5.94</v>
      </c>
      <c r="R111" s="408">
        <v>0.24000000000000002</v>
      </c>
      <c r="S111" s="405" t="s">
        <v>15</v>
      </c>
      <c r="T111" s="405" t="s">
        <v>1704</v>
      </c>
      <c r="U111" s="403"/>
      <c r="V111" s="403"/>
      <c r="W111" s="403"/>
      <c r="X111" s="403"/>
      <c r="Y111" s="403"/>
      <c r="Z111" s="403"/>
      <c r="AA111" s="408">
        <v>5.94</v>
      </c>
      <c r="AB111" s="403"/>
    </row>
    <row r="112" spans="1:28" hidden="1" x14ac:dyDescent="0.3">
      <c r="A112" s="391">
        <f>SUMIF('kurzy ČNB'!A:A,'jb IFRS'!J112,'kurzy ČNB'!B:B)</f>
        <v>24.754999999999999</v>
      </c>
      <c r="B112" s="125">
        <f t="shared" si="6"/>
        <v>-1321.3201373459908</v>
      </c>
      <c r="C112" s="126">
        <f t="shared" si="7"/>
        <v>-1321.32</v>
      </c>
      <c r="D112" s="407" t="s">
        <v>800</v>
      </c>
      <c r="E112" s="404" t="s">
        <v>853</v>
      </c>
      <c r="F112" s="406">
        <v>-32709.280000000002</v>
      </c>
      <c r="G112" s="406">
        <v>-1321.32</v>
      </c>
      <c r="H112" s="404" t="s">
        <v>15</v>
      </c>
      <c r="I112" s="404" t="s">
        <v>1103</v>
      </c>
      <c r="J112" s="336" t="s">
        <v>1703</v>
      </c>
      <c r="K112" s="405" t="s">
        <v>866</v>
      </c>
      <c r="L112" s="336" t="s">
        <v>1107</v>
      </c>
      <c r="M112" s="336" t="s">
        <v>1705</v>
      </c>
      <c r="N112" s="336" t="s">
        <v>1483</v>
      </c>
      <c r="O112" s="336" t="s">
        <v>802</v>
      </c>
      <c r="P112" s="336" t="s">
        <v>800</v>
      </c>
      <c r="Q112" s="408">
        <v>32709.280000000002</v>
      </c>
      <c r="R112" s="408">
        <v>1321.32</v>
      </c>
      <c r="S112" s="405" t="s">
        <v>15</v>
      </c>
      <c r="T112" s="405" t="s">
        <v>1704</v>
      </c>
      <c r="U112" s="336" t="s">
        <v>1683</v>
      </c>
      <c r="V112" s="403"/>
      <c r="W112" s="403"/>
      <c r="X112" s="403"/>
      <c r="Y112" s="403"/>
      <c r="Z112" s="403"/>
      <c r="AA112" s="403"/>
      <c r="AB112" s="408">
        <v>32709.280000000002</v>
      </c>
    </row>
    <row r="113" spans="1:28" hidden="1" x14ac:dyDescent="0.3">
      <c r="A113" s="391">
        <f>SUMIF('kurzy ČNB'!A:A,'jb IFRS'!J113,'kurzy ČNB'!B:B)</f>
        <v>24.754999999999999</v>
      </c>
      <c r="B113" s="125">
        <f t="shared" si="6"/>
        <v>1321.3201373459908</v>
      </c>
      <c r="C113" s="126">
        <f t="shared" si="7"/>
        <v>1321.32</v>
      </c>
      <c r="D113" s="407" t="s">
        <v>802</v>
      </c>
      <c r="E113" s="404" t="s">
        <v>855</v>
      </c>
      <c r="F113" s="406">
        <v>32709.280000000002</v>
      </c>
      <c r="G113" s="406">
        <v>1321.32</v>
      </c>
      <c r="H113" s="404" t="s">
        <v>15</v>
      </c>
      <c r="I113" s="404" t="s">
        <v>1103</v>
      </c>
      <c r="J113" s="336" t="s">
        <v>1703</v>
      </c>
      <c r="K113" s="405" t="s">
        <v>866</v>
      </c>
      <c r="L113" s="336" t="s">
        <v>1107</v>
      </c>
      <c r="M113" s="336" t="s">
        <v>1705</v>
      </c>
      <c r="N113" s="336" t="s">
        <v>1483</v>
      </c>
      <c r="O113" s="336" t="s">
        <v>802</v>
      </c>
      <c r="P113" s="336" t="s">
        <v>800</v>
      </c>
      <c r="Q113" s="408">
        <v>32709.280000000002</v>
      </c>
      <c r="R113" s="408">
        <v>1321.32</v>
      </c>
      <c r="S113" s="405" t="s">
        <v>15</v>
      </c>
      <c r="T113" s="405" t="s">
        <v>1704</v>
      </c>
      <c r="U113" s="336" t="s">
        <v>1683</v>
      </c>
      <c r="V113" s="403"/>
      <c r="W113" s="403"/>
      <c r="X113" s="403"/>
      <c r="Y113" s="403"/>
      <c r="Z113" s="403"/>
      <c r="AA113" s="408">
        <v>32709.280000000002</v>
      </c>
      <c r="AB113" s="403"/>
    </row>
    <row r="114" spans="1:28" hidden="1" x14ac:dyDescent="0.3">
      <c r="A114" s="391">
        <f>SUMIF('kurzy ČNB'!A:A,'jb IFRS'!J114,'kurzy ČNB'!B:B)</f>
        <v>24.754999999999999</v>
      </c>
      <c r="B114" s="125">
        <f t="shared" si="6"/>
        <v>-30.69117350030297</v>
      </c>
      <c r="C114" s="126">
        <f t="shared" si="7"/>
        <v>0</v>
      </c>
      <c r="D114" s="407" t="s">
        <v>835</v>
      </c>
      <c r="E114" s="404" t="s">
        <v>853</v>
      </c>
      <c r="F114" s="406">
        <v>-759.76</v>
      </c>
      <c r="G114" s="406">
        <v>0</v>
      </c>
      <c r="H114" s="404" t="s">
        <v>15</v>
      </c>
      <c r="I114" s="404" t="s">
        <v>1103</v>
      </c>
      <c r="J114" s="336" t="s">
        <v>1703</v>
      </c>
      <c r="K114" s="405" t="s">
        <v>866</v>
      </c>
      <c r="L114" s="336" t="s">
        <v>1107</v>
      </c>
      <c r="M114" s="336" t="s">
        <v>877</v>
      </c>
      <c r="N114" s="336" t="s">
        <v>1483</v>
      </c>
      <c r="O114" s="336" t="s">
        <v>802</v>
      </c>
      <c r="P114" s="336" t="s">
        <v>835</v>
      </c>
      <c r="Q114" s="408">
        <v>759.76</v>
      </c>
      <c r="R114" s="408">
        <v>0</v>
      </c>
      <c r="S114" s="405" t="s">
        <v>15</v>
      </c>
      <c r="T114" s="405" t="s">
        <v>1704</v>
      </c>
      <c r="U114" s="336" t="s">
        <v>1683</v>
      </c>
      <c r="V114" s="403"/>
      <c r="W114" s="403"/>
      <c r="X114" s="403"/>
      <c r="Y114" s="403"/>
      <c r="Z114" s="403"/>
      <c r="AA114" s="403"/>
      <c r="AB114" s="408">
        <v>759.76</v>
      </c>
    </row>
    <row r="115" spans="1:28" hidden="1" x14ac:dyDescent="0.3">
      <c r="A115" s="391">
        <f>SUMIF('kurzy ČNB'!A:A,'jb IFRS'!J115,'kurzy ČNB'!B:B)</f>
        <v>24.754999999999999</v>
      </c>
      <c r="B115" s="125">
        <f t="shared" si="6"/>
        <v>30.69117350030297</v>
      </c>
      <c r="C115" s="126">
        <f t="shared" si="7"/>
        <v>0</v>
      </c>
      <c r="D115" s="407" t="s">
        <v>802</v>
      </c>
      <c r="E115" s="404" t="s">
        <v>855</v>
      </c>
      <c r="F115" s="406">
        <v>759.76</v>
      </c>
      <c r="G115" s="406">
        <v>0</v>
      </c>
      <c r="H115" s="404" t="s">
        <v>15</v>
      </c>
      <c r="I115" s="404" t="s">
        <v>1103</v>
      </c>
      <c r="J115" s="336" t="s">
        <v>1703</v>
      </c>
      <c r="K115" s="405" t="s">
        <v>866</v>
      </c>
      <c r="L115" s="336" t="s">
        <v>1107</v>
      </c>
      <c r="M115" s="336" t="s">
        <v>877</v>
      </c>
      <c r="N115" s="336" t="s">
        <v>1483</v>
      </c>
      <c r="O115" s="336" t="s">
        <v>802</v>
      </c>
      <c r="P115" s="336" t="s">
        <v>835</v>
      </c>
      <c r="Q115" s="408">
        <v>759.76</v>
      </c>
      <c r="R115" s="408">
        <v>0</v>
      </c>
      <c r="S115" s="405" t="s">
        <v>15</v>
      </c>
      <c r="T115" s="405" t="s">
        <v>1704</v>
      </c>
      <c r="U115" s="336" t="s">
        <v>1683</v>
      </c>
      <c r="V115" s="403"/>
      <c r="W115" s="403"/>
      <c r="X115" s="403"/>
      <c r="Y115" s="403"/>
      <c r="Z115" s="403"/>
      <c r="AA115" s="408">
        <v>759.76</v>
      </c>
      <c r="AB115" s="403"/>
    </row>
    <row r="116" spans="1:28" hidden="1" x14ac:dyDescent="0.3">
      <c r="A116" s="391">
        <f>SUMIF('kurzy ČNB'!A:A,'jb IFRS'!J116,'kurzy ČNB'!B:B)</f>
        <v>24.754999999999999</v>
      </c>
      <c r="B116" s="125">
        <f t="shared" si="6"/>
        <v>-12171.241365380733</v>
      </c>
      <c r="C116" s="126">
        <f t="shared" si="7"/>
        <v>-12598.12</v>
      </c>
      <c r="D116" s="407" t="s">
        <v>800</v>
      </c>
      <c r="E116" s="404" t="s">
        <v>853</v>
      </c>
      <c r="F116" s="406">
        <v>-301299.08</v>
      </c>
      <c r="G116" s="406">
        <v>-12598.12</v>
      </c>
      <c r="H116" s="404" t="s">
        <v>15</v>
      </c>
      <c r="I116" s="404" t="s">
        <v>1103</v>
      </c>
      <c r="J116" s="336" t="s">
        <v>1703</v>
      </c>
      <c r="K116" s="405" t="s">
        <v>866</v>
      </c>
      <c r="L116" s="336" t="s">
        <v>1109</v>
      </c>
      <c r="M116" s="336" t="s">
        <v>1706</v>
      </c>
      <c r="N116" s="336" t="s">
        <v>1482</v>
      </c>
      <c r="O116" s="336" t="s">
        <v>802</v>
      </c>
      <c r="P116" s="336" t="s">
        <v>800</v>
      </c>
      <c r="Q116" s="408">
        <v>301299.08</v>
      </c>
      <c r="R116" s="408">
        <v>12598.12</v>
      </c>
      <c r="S116" s="405" t="s">
        <v>15</v>
      </c>
      <c r="T116" s="405" t="s">
        <v>1707</v>
      </c>
      <c r="U116" s="336" t="s">
        <v>1674</v>
      </c>
      <c r="V116" s="403"/>
      <c r="W116" s="403"/>
      <c r="X116" s="403"/>
      <c r="Y116" s="403"/>
      <c r="Z116" s="403"/>
      <c r="AA116" s="403"/>
      <c r="AB116" s="408">
        <v>301299.08</v>
      </c>
    </row>
    <row r="117" spans="1:28" hidden="1" x14ac:dyDescent="0.3">
      <c r="A117" s="391">
        <f>SUMIF('kurzy ČNB'!A:A,'jb IFRS'!J117,'kurzy ČNB'!B:B)</f>
        <v>24.754999999999999</v>
      </c>
      <c r="B117" s="125">
        <f t="shared" si="6"/>
        <v>12171.241365380733</v>
      </c>
      <c r="C117" s="126">
        <f t="shared" si="7"/>
        <v>12598.12</v>
      </c>
      <c r="D117" s="407" t="s">
        <v>802</v>
      </c>
      <c r="E117" s="404" t="s">
        <v>855</v>
      </c>
      <c r="F117" s="406">
        <v>301299.08</v>
      </c>
      <c r="G117" s="406">
        <v>12598.12</v>
      </c>
      <c r="H117" s="404" t="s">
        <v>15</v>
      </c>
      <c r="I117" s="404" t="s">
        <v>1103</v>
      </c>
      <c r="J117" s="336" t="s">
        <v>1703</v>
      </c>
      <c r="K117" s="405" t="s">
        <v>866</v>
      </c>
      <c r="L117" s="336" t="s">
        <v>1109</v>
      </c>
      <c r="M117" s="336" t="s">
        <v>1706</v>
      </c>
      <c r="N117" s="336" t="s">
        <v>1482</v>
      </c>
      <c r="O117" s="336" t="s">
        <v>802</v>
      </c>
      <c r="P117" s="336" t="s">
        <v>800</v>
      </c>
      <c r="Q117" s="408">
        <v>301299.08</v>
      </c>
      <c r="R117" s="408">
        <v>12598.12</v>
      </c>
      <c r="S117" s="405" t="s">
        <v>15</v>
      </c>
      <c r="T117" s="405" t="s">
        <v>1707</v>
      </c>
      <c r="U117" s="336" t="s">
        <v>1674</v>
      </c>
      <c r="V117" s="403"/>
      <c r="W117" s="403"/>
      <c r="X117" s="403"/>
      <c r="Y117" s="403"/>
      <c r="Z117" s="403"/>
      <c r="AA117" s="408">
        <v>301299.08</v>
      </c>
      <c r="AB117" s="403"/>
    </row>
    <row r="118" spans="1:28" hidden="1" x14ac:dyDescent="0.3">
      <c r="A118" s="391">
        <f>SUMIF('kurzy ČNB'!A:A,'jb IFRS'!J118,'kurzy ČNB'!B:B)</f>
        <v>24.76</v>
      </c>
      <c r="B118" s="125">
        <f t="shared" si="6"/>
        <v>-1702.8000807754443</v>
      </c>
      <c r="C118" s="126">
        <f t="shared" si="7"/>
        <v>-1702.8</v>
      </c>
      <c r="D118" s="407" t="s">
        <v>802</v>
      </c>
      <c r="E118" s="404" t="s">
        <v>853</v>
      </c>
      <c r="F118" s="406">
        <v>-42161.33</v>
      </c>
      <c r="G118" s="406">
        <v>-1702.8</v>
      </c>
      <c r="H118" s="404" t="s">
        <v>15</v>
      </c>
      <c r="I118" s="404" t="s">
        <v>1103</v>
      </c>
      <c r="J118" s="336" t="s">
        <v>1708</v>
      </c>
      <c r="K118" s="405" t="s">
        <v>856</v>
      </c>
      <c r="L118" s="336" t="s">
        <v>1709</v>
      </c>
      <c r="M118" s="336" t="s">
        <v>1288</v>
      </c>
      <c r="N118" s="336" t="s">
        <v>1503</v>
      </c>
      <c r="O118" s="336" t="s">
        <v>826</v>
      </c>
      <c r="P118" s="336" t="s">
        <v>802</v>
      </c>
      <c r="Q118" s="408">
        <v>42161.33</v>
      </c>
      <c r="R118" s="408">
        <v>1702.8</v>
      </c>
      <c r="S118" s="405" t="s">
        <v>15</v>
      </c>
      <c r="T118" s="405" t="s">
        <v>1710</v>
      </c>
      <c r="U118" s="336" t="s">
        <v>1711</v>
      </c>
      <c r="V118" s="403"/>
      <c r="W118" s="403"/>
      <c r="X118" s="403"/>
      <c r="Y118" s="403"/>
      <c r="Z118" s="403"/>
      <c r="AA118" s="403"/>
      <c r="AB118" s="408">
        <v>42161.33</v>
      </c>
    </row>
    <row r="119" spans="1:28" hidden="1" x14ac:dyDescent="0.3">
      <c r="A119" s="391">
        <f>SUMIF('kurzy ČNB'!A:A,'jb IFRS'!J119,'kurzy ČNB'!B:B)</f>
        <v>24.76</v>
      </c>
      <c r="B119" s="125">
        <f t="shared" si="6"/>
        <v>1702.8000807754443</v>
      </c>
      <c r="C119" s="126">
        <f t="shared" si="7"/>
        <v>1702.8</v>
      </c>
      <c r="D119" s="407" t="s">
        <v>826</v>
      </c>
      <c r="E119" s="404" t="s">
        <v>855</v>
      </c>
      <c r="F119" s="406">
        <v>42161.33</v>
      </c>
      <c r="G119" s="406">
        <v>1702.8</v>
      </c>
      <c r="H119" s="404" t="s">
        <v>15</v>
      </c>
      <c r="I119" s="404" t="s">
        <v>1103</v>
      </c>
      <c r="J119" s="336" t="s">
        <v>1708</v>
      </c>
      <c r="K119" s="405" t="s">
        <v>856</v>
      </c>
      <c r="L119" s="336" t="s">
        <v>1709</v>
      </c>
      <c r="M119" s="336" t="s">
        <v>1288</v>
      </c>
      <c r="N119" s="336" t="s">
        <v>1503</v>
      </c>
      <c r="O119" s="336" t="s">
        <v>826</v>
      </c>
      <c r="P119" s="336" t="s">
        <v>802</v>
      </c>
      <c r="Q119" s="408">
        <v>42161.33</v>
      </c>
      <c r="R119" s="408">
        <v>1702.8</v>
      </c>
      <c r="S119" s="405" t="s">
        <v>15</v>
      </c>
      <c r="T119" s="405" t="s">
        <v>1710</v>
      </c>
      <c r="U119" s="336" t="s">
        <v>1711</v>
      </c>
      <c r="V119" s="403"/>
      <c r="W119" s="403"/>
      <c r="X119" s="403"/>
      <c r="Y119" s="403"/>
      <c r="Z119" s="403"/>
      <c r="AA119" s="408">
        <v>42161.33</v>
      </c>
      <c r="AB119" s="403"/>
    </row>
    <row r="120" spans="1:28" hidden="1" x14ac:dyDescent="0.3">
      <c r="A120" s="391">
        <f>SUMIF('kurzy ČNB'!A:A,'jb IFRS'!J120,'kurzy ČNB'!B:B)</f>
        <v>24.75</v>
      </c>
      <c r="B120" s="125">
        <f t="shared" si="6"/>
        <v>-1352.6335353535353</v>
      </c>
      <c r="C120" s="126">
        <f t="shared" si="7"/>
        <v>-1352.6335353535353</v>
      </c>
      <c r="D120" s="407" t="s">
        <v>802</v>
      </c>
      <c r="E120" s="404" t="s">
        <v>853</v>
      </c>
      <c r="F120" s="406">
        <v>-33477.68</v>
      </c>
      <c r="G120" s="406">
        <v>0</v>
      </c>
      <c r="H120" s="403"/>
      <c r="I120" s="404" t="s">
        <v>1103</v>
      </c>
      <c r="J120" s="336" t="s">
        <v>1712</v>
      </c>
      <c r="K120" s="405" t="s">
        <v>856</v>
      </c>
      <c r="L120" s="336" t="s">
        <v>1713</v>
      </c>
      <c r="M120" s="336" t="s">
        <v>1565</v>
      </c>
      <c r="N120" s="336" t="s">
        <v>1482</v>
      </c>
      <c r="O120" s="336" t="s">
        <v>1000</v>
      </c>
      <c r="P120" s="336" t="s">
        <v>802</v>
      </c>
      <c r="Q120" s="408">
        <v>33477.68</v>
      </c>
      <c r="R120" s="408">
        <v>0</v>
      </c>
      <c r="S120" s="403"/>
      <c r="T120" s="403"/>
      <c r="U120" s="336" t="s">
        <v>1714</v>
      </c>
      <c r="V120" s="403"/>
      <c r="W120" s="403"/>
      <c r="X120" s="403"/>
      <c r="Y120" s="403"/>
      <c r="Z120" s="403"/>
      <c r="AA120" s="403"/>
      <c r="AB120" s="408">
        <v>33477.68</v>
      </c>
    </row>
    <row r="121" spans="1:28" hidden="1" x14ac:dyDescent="0.3">
      <c r="A121" s="391">
        <f>SUMIF('kurzy ČNB'!A:A,'jb IFRS'!J121,'kurzy ČNB'!B:B)</f>
        <v>24.75</v>
      </c>
      <c r="B121" s="125">
        <f t="shared" si="6"/>
        <v>1352.6335353535353</v>
      </c>
      <c r="C121" s="126">
        <f t="shared" si="7"/>
        <v>1352.6335353535353</v>
      </c>
      <c r="D121" s="407" t="s">
        <v>1000</v>
      </c>
      <c r="E121" s="404" t="s">
        <v>855</v>
      </c>
      <c r="F121" s="406">
        <v>33477.68</v>
      </c>
      <c r="G121" s="406">
        <v>0</v>
      </c>
      <c r="H121" s="403"/>
      <c r="I121" s="404" t="s">
        <v>1103</v>
      </c>
      <c r="J121" s="336" t="s">
        <v>1712</v>
      </c>
      <c r="K121" s="405" t="s">
        <v>856</v>
      </c>
      <c r="L121" s="336" t="s">
        <v>1713</v>
      </c>
      <c r="M121" s="336" t="s">
        <v>1565</v>
      </c>
      <c r="N121" s="336" t="s">
        <v>1482</v>
      </c>
      <c r="O121" s="336" t="s">
        <v>1000</v>
      </c>
      <c r="P121" s="336" t="s">
        <v>802</v>
      </c>
      <c r="Q121" s="408">
        <v>33477.68</v>
      </c>
      <c r="R121" s="408">
        <v>0</v>
      </c>
      <c r="S121" s="403"/>
      <c r="T121" s="403"/>
      <c r="U121" s="336" t="s">
        <v>1714</v>
      </c>
      <c r="V121" s="403"/>
      <c r="W121" s="403"/>
      <c r="X121" s="403"/>
      <c r="Y121" s="403"/>
      <c r="Z121" s="403"/>
      <c r="AA121" s="408">
        <v>33477.68</v>
      </c>
      <c r="AB121" s="403"/>
    </row>
    <row r="122" spans="1:28" hidden="1" x14ac:dyDescent="0.3">
      <c r="A122" s="391">
        <f>SUMIF('kurzy ČNB'!A:A,'jb IFRS'!J122,'kurzy ČNB'!B:B)</f>
        <v>24.75</v>
      </c>
      <c r="B122" s="125">
        <f t="shared" si="6"/>
        <v>-22684.930101010101</v>
      </c>
      <c r="C122" s="126">
        <f t="shared" si="7"/>
        <v>-22684.93</v>
      </c>
      <c r="D122" s="407" t="s">
        <v>808</v>
      </c>
      <c r="E122" s="404" t="s">
        <v>853</v>
      </c>
      <c r="F122" s="406">
        <v>-561452.02</v>
      </c>
      <c r="G122" s="406">
        <v>-22684.93</v>
      </c>
      <c r="H122" s="404" t="s">
        <v>15</v>
      </c>
      <c r="I122" s="404" t="s">
        <v>1103</v>
      </c>
      <c r="J122" s="336" t="s">
        <v>1712</v>
      </c>
      <c r="K122" s="405" t="s">
        <v>866</v>
      </c>
      <c r="L122" s="336" t="s">
        <v>1110</v>
      </c>
      <c r="M122" s="336" t="s">
        <v>1326</v>
      </c>
      <c r="N122" s="403"/>
      <c r="O122" s="336" t="s">
        <v>800</v>
      </c>
      <c r="P122" s="336" t="s">
        <v>808</v>
      </c>
      <c r="Q122" s="408">
        <v>561452.02</v>
      </c>
      <c r="R122" s="408">
        <v>22684.93</v>
      </c>
      <c r="S122" s="405" t="s">
        <v>15</v>
      </c>
      <c r="T122" s="405" t="s">
        <v>1140</v>
      </c>
      <c r="U122" s="403"/>
      <c r="V122" s="403"/>
      <c r="W122" s="403"/>
      <c r="X122" s="403"/>
      <c r="Y122" s="403"/>
      <c r="Z122" s="403"/>
      <c r="AA122" s="403"/>
      <c r="AB122" s="408">
        <v>561452.02</v>
      </c>
    </row>
    <row r="123" spans="1:28" x14ac:dyDescent="0.3">
      <c r="A123" s="391">
        <f>SUMIF('kurzy ČNB'!A:A,'jb IFRS'!J123,'kurzy ČNB'!B:B)</f>
        <v>24.75</v>
      </c>
      <c r="B123" s="125">
        <f t="shared" si="6"/>
        <v>22684.930101010101</v>
      </c>
      <c r="C123" s="126">
        <f t="shared" si="7"/>
        <v>22684.93</v>
      </c>
      <c r="D123" s="407" t="s">
        <v>800</v>
      </c>
      <c r="E123" s="404" t="s">
        <v>855</v>
      </c>
      <c r="F123" s="406">
        <v>561452.02</v>
      </c>
      <c r="G123" s="406">
        <v>22684.93</v>
      </c>
      <c r="H123" s="404" t="s">
        <v>15</v>
      </c>
      <c r="I123" s="404" t="s">
        <v>1103</v>
      </c>
      <c r="J123" s="336" t="s">
        <v>1712</v>
      </c>
      <c r="K123" s="405" t="s">
        <v>866</v>
      </c>
      <c r="L123" s="336" t="s">
        <v>1110</v>
      </c>
      <c r="M123" s="336" t="s">
        <v>1326</v>
      </c>
      <c r="N123" s="403"/>
      <c r="O123" s="336" t="s">
        <v>800</v>
      </c>
      <c r="P123" s="336" t="s">
        <v>808</v>
      </c>
      <c r="Q123" s="408">
        <v>561452.02</v>
      </c>
      <c r="R123" s="408">
        <v>22684.93</v>
      </c>
      <c r="S123" s="405" t="s">
        <v>15</v>
      </c>
      <c r="T123" s="405" t="s">
        <v>1140</v>
      </c>
      <c r="U123" s="403"/>
      <c r="V123" s="403"/>
      <c r="W123" s="403"/>
      <c r="X123" s="403"/>
      <c r="Y123" s="403"/>
      <c r="Z123" s="403"/>
      <c r="AA123" s="408">
        <v>561452.02</v>
      </c>
      <c r="AB123" s="403"/>
    </row>
    <row r="124" spans="1:28" hidden="1" x14ac:dyDescent="0.3">
      <c r="A124" s="391">
        <f>SUMIF('kurzy ČNB'!A:A,'jb IFRS'!J124,'kurzy ČNB'!B:B)</f>
        <v>24.75</v>
      </c>
      <c r="B124" s="125">
        <f t="shared" si="6"/>
        <v>-0.24000000000000002</v>
      </c>
      <c r="C124" s="126">
        <f t="shared" si="7"/>
        <v>-0.24000000000000002</v>
      </c>
      <c r="D124" s="407" t="s">
        <v>800</v>
      </c>
      <c r="E124" s="404" t="s">
        <v>853</v>
      </c>
      <c r="F124" s="406">
        <v>-5.94</v>
      </c>
      <c r="G124" s="406">
        <v>-0.24000000000000002</v>
      </c>
      <c r="H124" s="404" t="s">
        <v>15</v>
      </c>
      <c r="I124" s="404" t="s">
        <v>1103</v>
      </c>
      <c r="J124" s="336" t="s">
        <v>1712</v>
      </c>
      <c r="K124" s="405" t="s">
        <v>866</v>
      </c>
      <c r="L124" s="336" t="s">
        <v>1111</v>
      </c>
      <c r="M124" s="336" t="s">
        <v>869</v>
      </c>
      <c r="N124" s="403"/>
      <c r="O124" s="336" t="s">
        <v>832</v>
      </c>
      <c r="P124" s="336" t="s">
        <v>800</v>
      </c>
      <c r="Q124" s="408">
        <v>5.94</v>
      </c>
      <c r="R124" s="408">
        <v>0.24000000000000002</v>
      </c>
      <c r="S124" s="405" t="s">
        <v>15</v>
      </c>
      <c r="T124" s="405" t="s">
        <v>1140</v>
      </c>
      <c r="U124" s="403"/>
      <c r="V124" s="403"/>
      <c r="W124" s="403"/>
      <c r="X124" s="403"/>
      <c r="Y124" s="403"/>
      <c r="Z124" s="403"/>
      <c r="AA124" s="403"/>
      <c r="AB124" s="408">
        <v>5.94</v>
      </c>
    </row>
    <row r="125" spans="1:28" hidden="1" x14ac:dyDescent="0.3">
      <c r="A125" s="391">
        <f>SUMIF('kurzy ČNB'!A:A,'jb IFRS'!J125,'kurzy ČNB'!B:B)</f>
        <v>24.75</v>
      </c>
      <c r="B125" s="125">
        <f t="shared" si="6"/>
        <v>0.24000000000000002</v>
      </c>
      <c r="C125" s="126">
        <f t="shared" si="7"/>
        <v>0.24000000000000002</v>
      </c>
      <c r="D125" s="407" t="s">
        <v>832</v>
      </c>
      <c r="E125" s="404" t="s">
        <v>855</v>
      </c>
      <c r="F125" s="406">
        <v>5.94</v>
      </c>
      <c r="G125" s="406">
        <v>0.24000000000000002</v>
      </c>
      <c r="H125" s="404" t="s">
        <v>15</v>
      </c>
      <c r="I125" s="404" t="s">
        <v>1103</v>
      </c>
      <c r="J125" s="336" t="s">
        <v>1712</v>
      </c>
      <c r="K125" s="405" t="s">
        <v>866</v>
      </c>
      <c r="L125" s="336" t="s">
        <v>1111</v>
      </c>
      <c r="M125" s="336" t="s">
        <v>869</v>
      </c>
      <c r="N125" s="403"/>
      <c r="O125" s="336" t="s">
        <v>832</v>
      </c>
      <c r="P125" s="336" t="s">
        <v>800</v>
      </c>
      <c r="Q125" s="408">
        <v>5.94</v>
      </c>
      <c r="R125" s="408">
        <v>0.24000000000000002</v>
      </c>
      <c r="S125" s="405" t="s">
        <v>15</v>
      </c>
      <c r="T125" s="405" t="s">
        <v>1140</v>
      </c>
      <c r="U125" s="403"/>
      <c r="V125" s="403"/>
      <c r="W125" s="403"/>
      <c r="X125" s="403"/>
      <c r="Y125" s="403"/>
      <c r="Z125" s="403"/>
      <c r="AA125" s="408">
        <v>5.94</v>
      </c>
      <c r="AB125" s="403"/>
    </row>
    <row r="126" spans="1:28" hidden="1" x14ac:dyDescent="0.3">
      <c r="A126" s="391">
        <f>SUMIF('kurzy ČNB'!A:A,'jb IFRS'!J126,'kurzy ČNB'!B:B)</f>
        <v>24.73</v>
      </c>
      <c r="B126" s="125">
        <f t="shared" si="6"/>
        <v>-0.24019409623938537</v>
      </c>
      <c r="C126" s="126">
        <f t="shared" si="7"/>
        <v>-0.24000000000000002</v>
      </c>
      <c r="D126" s="407" t="s">
        <v>800</v>
      </c>
      <c r="E126" s="404" t="s">
        <v>853</v>
      </c>
      <c r="F126" s="406">
        <v>-5.94</v>
      </c>
      <c r="G126" s="406">
        <v>-0.24000000000000002</v>
      </c>
      <c r="H126" s="404" t="s">
        <v>15</v>
      </c>
      <c r="I126" s="404" t="s">
        <v>1103</v>
      </c>
      <c r="J126" s="336" t="s">
        <v>1715</v>
      </c>
      <c r="K126" s="405" t="s">
        <v>866</v>
      </c>
      <c r="L126" s="336" t="s">
        <v>1114</v>
      </c>
      <c r="M126" s="336" t="s">
        <v>869</v>
      </c>
      <c r="N126" s="403"/>
      <c r="O126" s="336" t="s">
        <v>832</v>
      </c>
      <c r="P126" s="336" t="s">
        <v>800</v>
      </c>
      <c r="Q126" s="408">
        <v>5.94</v>
      </c>
      <c r="R126" s="408">
        <v>0.24000000000000002</v>
      </c>
      <c r="S126" s="405" t="s">
        <v>15</v>
      </c>
      <c r="T126" s="405" t="s">
        <v>1716</v>
      </c>
      <c r="U126" s="403"/>
      <c r="V126" s="403"/>
      <c r="W126" s="403"/>
      <c r="X126" s="403"/>
      <c r="Y126" s="403"/>
      <c r="Z126" s="403"/>
      <c r="AA126" s="403"/>
      <c r="AB126" s="408">
        <v>5.94</v>
      </c>
    </row>
    <row r="127" spans="1:28" hidden="1" x14ac:dyDescent="0.3">
      <c r="A127" s="391">
        <f>SUMIF('kurzy ČNB'!A:A,'jb IFRS'!J127,'kurzy ČNB'!B:B)</f>
        <v>24.73</v>
      </c>
      <c r="B127" s="125">
        <f t="shared" si="6"/>
        <v>0.24019409623938537</v>
      </c>
      <c r="C127" s="126">
        <f t="shared" si="7"/>
        <v>0.24000000000000002</v>
      </c>
      <c r="D127" s="407" t="s">
        <v>832</v>
      </c>
      <c r="E127" s="404" t="s">
        <v>855</v>
      </c>
      <c r="F127" s="406">
        <v>5.94</v>
      </c>
      <c r="G127" s="406">
        <v>0.24000000000000002</v>
      </c>
      <c r="H127" s="404" t="s">
        <v>15</v>
      </c>
      <c r="I127" s="404" t="s">
        <v>1103</v>
      </c>
      <c r="J127" s="336" t="s">
        <v>1715</v>
      </c>
      <c r="K127" s="405" t="s">
        <v>866</v>
      </c>
      <c r="L127" s="336" t="s">
        <v>1114</v>
      </c>
      <c r="M127" s="336" t="s">
        <v>869</v>
      </c>
      <c r="N127" s="403"/>
      <c r="O127" s="336" t="s">
        <v>832</v>
      </c>
      <c r="P127" s="336" t="s">
        <v>800</v>
      </c>
      <c r="Q127" s="408">
        <v>5.94</v>
      </c>
      <c r="R127" s="408">
        <v>0.24000000000000002</v>
      </c>
      <c r="S127" s="405" t="s">
        <v>15</v>
      </c>
      <c r="T127" s="405" t="s">
        <v>1716</v>
      </c>
      <c r="U127" s="403"/>
      <c r="V127" s="403"/>
      <c r="W127" s="403"/>
      <c r="X127" s="403"/>
      <c r="Y127" s="403"/>
      <c r="Z127" s="403"/>
      <c r="AA127" s="408">
        <v>5.94</v>
      </c>
      <c r="AB127" s="403"/>
    </row>
    <row r="128" spans="1:28" hidden="1" x14ac:dyDescent="0.3">
      <c r="A128" s="391">
        <f>SUMIF('kurzy ČNB'!A:A,'jb IFRS'!J128,'kurzy ČNB'!B:B)</f>
        <v>24.73</v>
      </c>
      <c r="B128" s="125">
        <f t="shared" si="6"/>
        <v>-279.8706025070764</v>
      </c>
      <c r="C128" s="126">
        <f t="shared" si="7"/>
        <v>-290</v>
      </c>
      <c r="D128" s="407" t="s">
        <v>800</v>
      </c>
      <c r="E128" s="404" t="s">
        <v>853</v>
      </c>
      <c r="F128" s="406">
        <v>-6921.2</v>
      </c>
      <c r="G128" s="406">
        <v>-290</v>
      </c>
      <c r="H128" s="404" t="s">
        <v>15</v>
      </c>
      <c r="I128" s="404" t="s">
        <v>1103</v>
      </c>
      <c r="J128" s="336" t="s">
        <v>1715</v>
      </c>
      <c r="K128" s="405" t="s">
        <v>866</v>
      </c>
      <c r="L128" s="336" t="s">
        <v>1116</v>
      </c>
      <c r="M128" s="336" t="s">
        <v>1717</v>
      </c>
      <c r="N128" s="336" t="s">
        <v>1483</v>
      </c>
      <c r="O128" s="336" t="s">
        <v>802</v>
      </c>
      <c r="P128" s="336" t="s">
        <v>800</v>
      </c>
      <c r="Q128" s="408">
        <v>6921.2</v>
      </c>
      <c r="R128" s="408">
        <v>290</v>
      </c>
      <c r="S128" s="405" t="s">
        <v>15</v>
      </c>
      <c r="T128" s="405" t="s">
        <v>1718</v>
      </c>
      <c r="U128" s="336" t="s">
        <v>1697</v>
      </c>
      <c r="V128" s="403"/>
      <c r="W128" s="403"/>
      <c r="X128" s="403"/>
      <c r="Y128" s="403"/>
      <c r="Z128" s="403"/>
      <c r="AA128" s="403"/>
      <c r="AB128" s="408">
        <v>6921.2</v>
      </c>
    </row>
    <row r="129" spans="1:28" hidden="1" x14ac:dyDescent="0.3">
      <c r="A129" s="391">
        <f>SUMIF('kurzy ČNB'!A:A,'jb IFRS'!J129,'kurzy ČNB'!B:B)</f>
        <v>24.73</v>
      </c>
      <c r="B129" s="125">
        <f t="shared" si="6"/>
        <v>279.8706025070764</v>
      </c>
      <c r="C129" s="126">
        <f t="shared" si="7"/>
        <v>290</v>
      </c>
      <c r="D129" s="407" t="s">
        <v>802</v>
      </c>
      <c r="E129" s="404" t="s">
        <v>855</v>
      </c>
      <c r="F129" s="406">
        <v>6921.2</v>
      </c>
      <c r="G129" s="406">
        <v>290</v>
      </c>
      <c r="H129" s="404" t="s">
        <v>15</v>
      </c>
      <c r="I129" s="404" t="s">
        <v>1103</v>
      </c>
      <c r="J129" s="336" t="s">
        <v>1715</v>
      </c>
      <c r="K129" s="405" t="s">
        <v>866</v>
      </c>
      <c r="L129" s="336" t="s">
        <v>1116</v>
      </c>
      <c r="M129" s="336" t="s">
        <v>1717</v>
      </c>
      <c r="N129" s="336" t="s">
        <v>1483</v>
      </c>
      <c r="O129" s="336" t="s">
        <v>802</v>
      </c>
      <c r="P129" s="336" t="s">
        <v>800</v>
      </c>
      <c r="Q129" s="408">
        <v>6921.2</v>
      </c>
      <c r="R129" s="408">
        <v>290</v>
      </c>
      <c r="S129" s="405" t="s">
        <v>15</v>
      </c>
      <c r="T129" s="405" t="s">
        <v>1718</v>
      </c>
      <c r="U129" s="336" t="s">
        <v>1697</v>
      </c>
      <c r="V129" s="403"/>
      <c r="W129" s="403"/>
      <c r="X129" s="403"/>
      <c r="Y129" s="403"/>
      <c r="Z129" s="403"/>
      <c r="AA129" s="408">
        <v>6921.2</v>
      </c>
      <c r="AB129" s="403"/>
    </row>
    <row r="130" spans="1:28" hidden="1" x14ac:dyDescent="0.3">
      <c r="A130" s="391">
        <f>SUMIF('kurzy ČNB'!A:A,'jb IFRS'!J130,'kurzy ČNB'!B:B)</f>
        <v>24.73</v>
      </c>
      <c r="B130" s="125">
        <f t="shared" si="6"/>
        <v>-3001.2798220784475</v>
      </c>
      <c r="C130" s="126">
        <f t="shared" si="7"/>
        <v>-3001.2799999999997</v>
      </c>
      <c r="D130" s="407" t="s">
        <v>800</v>
      </c>
      <c r="E130" s="404" t="s">
        <v>853</v>
      </c>
      <c r="F130" s="406">
        <v>-74221.650000000009</v>
      </c>
      <c r="G130" s="406">
        <v>-3001.2799999999997</v>
      </c>
      <c r="H130" s="404" t="s">
        <v>15</v>
      </c>
      <c r="I130" s="404" t="s">
        <v>1103</v>
      </c>
      <c r="J130" s="336" t="s">
        <v>1715</v>
      </c>
      <c r="K130" s="405" t="s">
        <v>866</v>
      </c>
      <c r="L130" s="336" t="s">
        <v>1118</v>
      </c>
      <c r="M130" s="336" t="s">
        <v>1719</v>
      </c>
      <c r="N130" s="336" t="s">
        <v>1483</v>
      </c>
      <c r="O130" s="336" t="s">
        <v>802</v>
      </c>
      <c r="P130" s="336" t="s">
        <v>800</v>
      </c>
      <c r="Q130" s="408">
        <v>74221.650000000009</v>
      </c>
      <c r="R130" s="408">
        <v>3001.2799999999997</v>
      </c>
      <c r="S130" s="405" t="s">
        <v>15</v>
      </c>
      <c r="T130" s="405" t="s">
        <v>1716</v>
      </c>
      <c r="U130" s="336" t="s">
        <v>1694</v>
      </c>
      <c r="V130" s="403"/>
      <c r="W130" s="403"/>
      <c r="X130" s="403"/>
      <c r="Y130" s="403"/>
      <c r="Z130" s="403"/>
      <c r="AA130" s="403"/>
      <c r="AB130" s="408">
        <v>74221.650000000009</v>
      </c>
    </row>
    <row r="131" spans="1:28" hidden="1" x14ac:dyDescent="0.3">
      <c r="A131" s="391">
        <f>SUMIF('kurzy ČNB'!A:A,'jb IFRS'!J131,'kurzy ČNB'!B:B)</f>
        <v>24.73</v>
      </c>
      <c r="B131" s="125">
        <f t="shared" si="6"/>
        <v>3001.2798220784475</v>
      </c>
      <c r="C131" s="126">
        <f t="shared" si="7"/>
        <v>3001.2799999999997</v>
      </c>
      <c r="D131" s="407" t="s">
        <v>802</v>
      </c>
      <c r="E131" s="404" t="s">
        <v>855</v>
      </c>
      <c r="F131" s="406">
        <v>74221.650000000009</v>
      </c>
      <c r="G131" s="406">
        <v>3001.2799999999997</v>
      </c>
      <c r="H131" s="404" t="s">
        <v>15</v>
      </c>
      <c r="I131" s="404" t="s">
        <v>1103</v>
      </c>
      <c r="J131" s="336" t="s">
        <v>1715</v>
      </c>
      <c r="K131" s="405" t="s">
        <v>866</v>
      </c>
      <c r="L131" s="336" t="s">
        <v>1118</v>
      </c>
      <c r="M131" s="336" t="s">
        <v>1719</v>
      </c>
      <c r="N131" s="336" t="s">
        <v>1483</v>
      </c>
      <c r="O131" s="336" t="s">
        <v>802</v>
      </c>
      <c r="P131" s="336" t="s">
        <v>800</v>
      </c>
      <c r="Q131" s="408">
        <v>74221.650000000009</v>
      </c>
      <c r="R131" s="408">
        <v>3001.2799999999997</v>
      </c>
      <c r="S131" s="405" t="s">
        <v>15</v>
      </c>
      <c r="T131" s="405" t="s">
        <v>1716</v>
      </c>
      <c r="U131" s="336" t="s">
        <v>1694</v>
      </c>
      <c r="V131" s="403"/>
      <c r="W131" s="403"/>
      <c r="X131" s="403"/>
      <c r="Y131" s="403"/>
      <c r="Z131" s="403"/>
      <c r="AA131" s="408">
        <v>74221.650000000009</v>
      </c>
      <c r="AB131" s="403"/>
    </row>
    <row r="132" spans="1:28" hidden="1" x14ac:dyDescent="0.3">
      <c r="A132" s="391">
        <f>SUMIF('kurzy ČNB'!A:A,'jb IFRS'!J132,'kurzy ČNB'!B:B)</f>
        <v>24.73</v>
      </c>
      <c r="B132" s="125">
        <f t="shared" si="6"/>
        <v>-76.458147998382529</v>
      </c>
      <c r="C132" s="126">
        <f t="shared" si="7"/>
        <v>0</v>
      </c>
      <c r="D132" s="407" t="s">
        <v>835</v>
      </c>
      <c r="E132" s="404" t="s">
        <v>853</v>
      </c>
      <c r="F132" s="406">
        <v>-1890.81</v>
      </c>
      <c r="G132" s="406">
        <v>0</v>
      </c>
      <c r="H132" s="404" t="s">
        <v>15</v>
      </c>
      <c r="I132" s="404" t="s">
        <v>1103</v>
      </c>
      <c r="J132" s="336" t="s">
        <v>1715</v>
      </c>
      <c r="K132" s="405" t="s">
        <v>866</v>
      </c>
      <c r="L132" s="336" t="s">
        <v>1118</v>
      </c>
      <c r="M132" s="336" t="s">
        <v>877</v>
      </c>
      <c r="N132" s="336" t="s">
        <v>1483</v>
      </c>
      <c r="O132" s="336" t="s">
        <v>802</v>
      </c>
      <c r="P132" s="336" t="s">
        <v>835</v>
      </c>
      <c r="Q132" s="408">
        <v>1890.81</v>
      </c>
      <c r="R132" s="408">
        <v>0</v>
      </c>
      <c r="S132" s="405" t="s">
        <v>15</v>
      </c>
      <c r="T132" s="405" t="s">
        <v>1716</v>
      </c>
      <c r="U132" s="336" t="s">
        <v>1694</v>
      </c>
      <c r="V132" s="403"/>
      <c r="W132" s="403"/>
      <c r="X132" s="403"/>
      <c r="Y132" s="403"/>
      <c r="Z132" s="403"/>
      <c r="AA132" s="403"/>
      <c r="AB132" s="408">
        <v>1890.81</v>
      </c>
    </row>
    <row r="133" spans="1:28" hidden="1" x14ac:dyDescent="0.3">
      <c r="A133" s="391">
        <f>SUMIF('kurzy ČNB'!A:A,'jb IFRS'!J133,'kurzy ČNB'!B:B)</f>
        <v>24.73</v>
      </c>
      <c r="B133" s="125">
        <f t="shared" si="6"/>
        <v>76.458147998382529</v>
      </c>
      <c r="C133" s="126">
        <f t="shared" si="7"/>
        <v>0</v>
      </c>
      <c r="D133" s="407" t="s">
        <v>802</v>
      </c>
      <c r="E133" s="404" t="s">
        <v>855</v>
      </c>
      <c r="F133" s="406">
        <v>1890.81</v>
      </c>
      <c r="G133" s="406">
        <v>0</v>
      </c>
      <c r="H133" s="404" t="s">
        <v>15</v>
      </c>
      <c r="I133" s="404" t="s">
        <v>1103</v>
      </c>
      <c r="J133" s="336" t="s">
        <v>1715</v>
      </c>
      <c r="K133" s="405" t="s">
        <v>866</v>
      </c>
      <c r="L133" s="336" t="s">
        <v>1118</v>
      </c>
      <c r="M133" s="336" t="s">
        <v>877</v>
      </c>
      <c r="N133" s="336" t="s">
        <v>1483</v>
      </c>
      <c r="O133" s="336" t="s">
        <v>802</v>
      </c>
      <c r="P133" s="336" t="s">
        <v>835</v>
      </c>
      <c r="Q133" s="408">
        <v>1890.81</v>
      </c>
      <c r="R133" s="408">
        <v>0</v>
      </c>
      <c r="S133" s="405" t="s">
        <v>15</v>
      </c>
      <c r="T133" s="405" t="s">
        <v>1716</v>
      </c>
      <c r="U133" s="336" t="s">
        <v>1694</v>
      </c>
      <c r="V133" s="403"/>
      <c r="W133" s="403"/>
      <c r="X133" s="403"/>
      <c r="Y133" s="403"/>
      <c r="Z133" s="403"/>
      <c r="AA133" s="408">
        <v>1890.81</v>
      </c>
      <c r="AB133" s="403"/>
    </row>
    <row r="134" spans="1:28" hidden="1" x14ac:dyDescent="0.3">
      <c r="A134" s="391">
        <f>SUMIF('kurzy ČNB'!A:A,'jb IFRS'!J134,'kurzy ČNB'!B:B)</f>
        <v>24.725000000000001</v>
      </c>
      <c r="B134" s="125">
        <f t="shared" si="6"/>
        <v>-0.2398382204246714</v>
      </c>
      <c r="C134" s="126">
        <f t="shared" si="7"/>
        <v>-0.24000000000000002</v>
      </c>
      <c r="D134" s="407" t="s">
        <v>800</v>
      </c>
      <c r="E134" s="404" t="s">
        <v>853</v>
      </c>
      <c r="F134" s="406">
        <v>-5.9300000000000006</v>
      </c>
      <c r="G134" s="406">
        <v>-0.24000000000000002</v>
      </c>
      <c r="H134" s="404" t="s">
        <v>15</v>
      </c>
      <c r="I134" s="404" t="s">
        <v>1103</v>
      </c>
      <c r="J134" s="336" t="s">
        <v>1720</v>
      </c>
      <c r="K134" s="405" t="s">
        <v>866</v>
      </c>
      <c r="L134" s="336" t="s">
        <v>1121</v>
      </c>
      <c r="M134" s="336" t="s">
        <v>869</v>
      </c>
      <c r="N134" s="403"/>
      <c r="O134" s="336" t="s">
        <v>832</v>
      </c>
      <c r="P134" s="336" t="s">
        <v>800</v>
      </c>
      <c r="Q134" s="408">
        <v>5.9300000000000006</v>
      </c>
      <c r="R134" s="408">
        <v>0.24000000000000002</v>
      </c>
      <c r="S134" s="405" t="s">
        <v>15</v>
      </c>
      <c r="T134" s="405" t="s">
        <v>1142</v>
      </c>
      <c r="U134" s="403"/>
      <c r="V134" s="403"/>
      <c r="W134" s="403"/>
      <c r="X134" s="403"/>
      <c r="Y134" s="403"/>
      <c r="Z134" s="403"/>
      <c r="AA134" s="403"/>
      <c r="AB134" s="408">
        <v>5.9300000000000006</v>
      </c>
    </row>
    <row r="135" spans="1:28" hidden="1" x14ac:dyDescent="0.3">
      <c r="A135" s="391">
        <f>SUMIF('kurzy ČNB'!A:A,'jb IFRS'!J135,'kurzy ČNB'!B:B)</f>
        <v>24.725000000000001</v>
      </c>
      <c r="B135" s="125">
        <f t="shared" si="6"/>
        <v>0.2398382204246714</v>
      </c>
      <c r="C135" s="126">
        <f t="shared" si="7"/>
        <v>0.24000000000000002</v>
      </c>
      <c r="D135" s="407" t="s">
        <v>832</v>
      </c>
      <c r="E135" s="404" t="s">
        <v>855</v>
      </c>
      <c r="F135" s="406">
        <v>5.9300000000000006</v>
      </c>
      <c r="G135" s="406">
        <v>0.24000000000000002</v>
      </c>
      <c r="H135" s="404" t="s">
        <v>15</v>
      </c>
      <c r="I135" s="404" t="s">
        <v>1103</v>
      </c>
      <c r="J135" s="336" t="s">
        <v>1720</v>
      </c>
      <c r="K135" s="405" t="s">
        <v>866</v>
      </c>
      <c r="L135" s="336" t="s">
        <v>1121</v>
      </c>
      <c r="M135" s="336" t="s">
        <v>869</v>
      </c>
      <c r="N135" s="403"/>
      <c r="O135" s="336" t="s">
        <v>832</v>
      </c>
      <c r="P135" s="336" t="s">
        <v>800</v>
      </c>
      <c r="Q135" s="408">
        <v>5.9300000000000006</v>
      </c>
      <c r="R135" s="408">
        <v>0.24000000000000002</v>
      </c>
      <c r="S135" s="405" t="s">
        <v>15</v>
      </c>
      <c r="T135" s="405" t="s">
        <v>1142</v>
      </c>
      <c r="U135" s="403"/>
      <c r="V135" s="403"/>
      <c r="W135" s="403"/>
      <c r="X135" s="403"/>
      <c r="Y135" s="403"/>
      <c r="Z135" s="403"/>
      <c r="AA135" s="408">
        <v>5.9300000000000006</v>
      </c>
      <c r="AB135" s="403"/>
    </row>
    <row r="136" spans="1:28" hidden="1" x14ac:dyDescent="0.3">
      <c r="A136" s="391">
        <f>SUMIF('kurzy ČNB'!A:A,'jb IFRS'!J136,'kurzy ČNB'!B:B)</f>
        <v>24.725000000000001</v>
      </c>
      <c r="B136" s="125">
        <f t="shared" ref="B136:B170" si="8">F136/A136</f>
        <v>-1702.7999999999997</v>
      </c>
      <c r="C136" s="126">
        <f t="shared" ref="C136:C170" si="9">IF(H136="EUR",G136,B136)</f>
        <v>-1702.8</v>
      </c>
      <c r="D136" s="407" t="s">
        <v>800</v>
      </c>
      <c r="E136" s="404" t="s">
        <v>853</v>
      </c>
      <c r="F136" s="406">
        <v>-42101.729999999996</v>
      </c>
      <c r="G136" s="406">
        <v>-1702.8</v>
      </c>
      <c r="H136" s="404" t="s">
        <v>15</v>
      </c>
      <c r="I136" s="404" t="s">
        <v>1103</v>
      </c>
      <c r="J136" s="336" t="s">
        <v>1720</v>
      </c>
      <c r="K136" s="405" t="s">
        <v>866</v>
      </c>
      <c r="L136" s="336" t="s">
        <v>1122</v>
      </c>
      <c r="M136" s="336" t="s">
        <v>1721</v>
      </c>
      <c r="N136" s="336" t="s">
        <v>1503</v>
      </c>
      <c r="O136" s="336" t="s">
        <v>802</v>
      </c>
      <c r="P136" s="336" t="s">
        <v>800</v>
      </c>
      <c r="Q136" s="408">
        <v>42101.729999999996</v>
      </c>
      <c r="R136" s="408">
        <v>1702.8</v>
      </c>
      <c r="S136" s="405" t="s">
        <v>15</v>
      </c>
      <c r="T136" s="405" t="s">
        <v>1142</v>
      </c>
      <c r="U136" s="336" t="s">
        <v>1711</v>
      </c>
      <c r="V136" s="403"/>
      <c r="W136" s="403"/>
      <c r="X136" s="403"/>
      <c r="Y136" s="403"/>
      <c r="Z136" s="403"/>
      <c r="AA136" s="403"/>
      <c r="AB136" s="408">
        <v>42101.729999999996</v>
      </c>
    </row>
    <row r="137" spans="1:28" hidden="1" x14ac:dyDescent="0.3">
      <c r="A137" s="391">
        <f>SUMIF('kurzy ČNB'!A:A,'jb IFRS'!J137,'kurzy ČNB'!B:B)</f>
        <v>24.725000000000001</v>
      </c>
      <c r="B137" s="125">
        <f t="shared" si="8"/>
        <v>1702.7999999999997</v>
      </c>
      <c r="C137" s="126">
        <f t="shared" si="9"/>
        <v>1702.8</v>
      </c>
      <c r="D137" s="407" t="s">
        <v>802</v>
      </c>
      <c r="E137" s="404" t="s">
        <v>855</v>
      </c>
      <c r="F137" s="406">
        <v>42101.729999999996</v>
      </c>
      <c r="G137" s="406">
        <v>1702.8</v>
      </c>
      <c r="H137" s="404" t="s">
        <v>15</v>
      </c>
      <c r="I137" s="404" t="s">
        <v>1103</v>
      </c>
      <c r="J137" s="336" t="s">
        <v>1720</v>
      </c>
      <c r="K137" s="405" t="s">
        <v>866</v>
      </c>
      <c r="L137" s="336" t="s">
        <v>1122</v>
      </c>
      <c r="M137" s="336" t="s">
        <v>1721</v>
      </c>
      <c r="N137" s="336" t="s">
        <v>1503</v>
      </c>
      <c r="O137" s="336" t="s">
        <v>802</v>
      </c>
      <c r="P137" s="336" t="s">
        <v>800</v>
      </c>
      <c r="Q137" s="408">
        <v>42101.729999999996</v>
      </c>
      <c r="R137" s="408">
        <v>1702.8</v>
      </c>
      <c r="S137" s="405" t="s">
        <v>15</v>
      </c>
      <c r="T137" s="405" t="s">
        <v>1142</v>
      </c>
      <c r="U137" s="336" t="s">
        <v>1711</v>
      </c>
      <c r="V137" s="403"/>
      <c r="W137" s="403"/>
      <c r="X137" s="403"/>
      <c r="Y137" s="403"/>
      <c r="Z137" s="403"/>
      <c r="AA137" s="408">
        <v>42101.729999999996</v>
      </c>
      <c r="AB137" s="403"/>
    </row>
    <row r="138" spans="1:28" hidden="1" x14ac:dyDescent="0.3">
      <c r="A138" s="391">
        <f>SUMIF('kurzy ČNB'!A:A,'jb IFRS'!J138,'kurzy ČNB'!B:B)</f>
        <v>24.725000000000001</v>
      </c>
      <c r="B138" s="125">
        <f t="shared" si="8"/>
        <v>-2.4105156723963597</v>
      </c>
      <c r="C138" s="126">
        <f t="shared" si="9"/>
        <v>0</v>
      </c>
      <c r="D138" s="407" t="s">
        <v>835</v>
      </c>
      <c r="E138" s="404" t="s">
        <v>853</v>
      </c>
      <c r="F138" s="406">
        <v>-59.6</v>
      </c>
      <c r="G138" s="406">
        <v>0</v>
      </c>
      <c r="H138" s="404" t="s">
        <v>15</v>
      </c>
      <c r="I138" s="404" t="s">
        <v>1103</v>
      </c>
      <c r="J138" s="336" t="s">
        <v>1720</v>
      </c>
      <c r="K138" s="405" t="s">
        <v>866</v>
      </c>
      <c r="L138" s="336" t="s">
        <v>1122</v>
      </c>
      <c r="M138" s="336" t="s">
        <v>877</v>
      </c>
      <c r="N138" s="336" t="s">
        <v>1503</v>
      </c>
      <c r="O138" s="336" t="s">
        <v>802</v>
      </c>
      <c r="P138" s="336" t="s">
        <v>835</v>
      </c>
      <c r="Q138" s="408">
        <v>59.6</v>
      </c>
      <c r="R138" s="408">
        <v>0</v>
      </c>
      <c r="S138" s="405" t="s">
        <v>15</v>
      </c>
      <c r="T138" s="405" t="s">
        <v>1142</v>
      </c>
      <c r="U138" s="336" t="s">
        <v>1711</v>
      </c>
      <c r="V138" s="403"/>
      <c r="W138" s="403"/>
      <c r="X138" s="403"/>
      <c r="Y138" s="403"/>
      <c r="Z138" s="403"/>
      <c r="AA138" s="403"/>
      <c r="AB138" s="408">
        <v>59.6</v>
      </c>
    </row>
    <row r="139" spans="1:28" hidden="1" x14ac:dyDescent="0.3">
      <c r="A139" s="391">
        <f>SUMIF('kurzy ČNB'!A:A,'jb IFRS'!J139,'kurzy ČNB'!B:B)</f>
        <v>24.725000000000001</v>
      </c>
      <c r="B139" s="125">
        <f t="shared" si="8"/>
        <v>2.4105156723963597</v>
      </c>
      <c r="C139" s="126">
        <f t="shared" si="9"/>
        <v>0</v>
      </c>
      <c r="D139" s="407" t="s">
        <v>802</v>
      </c>
      <c r="E139" s="404" t="s">
        <v>855</v>
      </c>
      <c r="F139" s="406">
        <v>59.6</v>
      </c>
      <c r="G139" s="406">
        <v>0</v>
      </c>
      <c r="H139" s="404" t="s">
        <v>15</v>
      </c>
      <c r="I139" s="404" t="s">
        <v>1103</v>
      </c>
      <c r="J139" s="336" t="s">
        <v>1720</v>
      </c>
      <c r="K139" s="405" t="s">
        <v>866</v>
      </c>
      <c r="L139" s="336" t="s">
        <v>1122</v>
      </c>
      <c r="M139" s="336" t="s">
        <v>877</v>
      </c>
      <c r="N139" s="336" t="s">
        <v>1503</v>
      </c>
      <c r="O139" s="336" t="s">
        <v>802</v>
      </c>
      <c r="P139" s="336" t="s">
        <v>835</v>
      </c>
      <c r="Q139" s="408">
        <v>59.6</v>
      </c>
      <c r="R139" s="408">
        <v>0</v>
      </c>
      <c r="S139" s="405" t="s">
        <v>15</v>
      </c>
      <c r="T139" s="405" t="s">
        <v>1142</v>
      </c>
      <c r="U139" s="336" t="s">
        <v>1711</v>
      </c>
      <c r="V139" s="403"/>
      <c r="W139" s="403"/>
      <c r="X139" s="403"/>
      <c r="Y139" s="403"/>
      <c r="Z139" s="403"/>
      <c r="AA139" s="408">
        <v>59.6</v>
      </c>
      <c r="AB139" s="403"/>
    </row>
    <row r="140" spans="1:28" hidden="1" x14ac:dyDescent="0.3">
      <c r="A140" s="391">
        <f>SUMIF('kurzy ČNB'!A:A,'jb IFRS'!J140,'kurzy ČNB'!B:B)</f>
        <v>24.725000000000001</v>
      </c>
      <c r="B140" s="125">
        <f t="shared" si="8"/>
        <v>-0.49019211324570267</v>
      </c>
      <c r="C140" s="126">
        <f t="shared" si="9"/>
        <v>-0.49000000000000005</v>
      </c>
      <c r="D140" s="407" t="s">
        <v>800</v>
      </c>
      <c r="E140" s="404" t="s">
        <v>853</v>
      </c>
      <c r="F140" s="406">
        <v>-12.12</v>
      </c>
      <c r="G140" s="406">
        <v>-0.49000000000000005</v>
      </c>
      <c r="H140" s="404" t="s">
        <v>15</v>
      </c>
      <c r="I140" s="404" t="s">
        <v>1103</v>
      </c>
      <c r="J140" s="336" t="s">
        <v>1720</v>
      </c>
      <c r="K140" s="405" t="s">
        <v>866</v>
      </c>
      <c r="L140" s="336" t="s">
        <v>1123</v>
      </c>
      <c r="M140" s="336" t="s">
        <v>869</v>
      </c>
      <c r="N140" s="403"/>
      <c r="O140" s="336" t="s">
        <v>832</v>
      </c>
      <c r="P140" s="336" t="s">
        <v>800</v>
      </c>
      <c r="Q140" s="408">
        <v>12.12</v>
      </c>
      <c r="R140" s="408">
        <v>0.49000000000000005</v>
      </c>
      <c r="S140" s="405" t="s">
        <v>15</v>
      </c>
      <c r="T140" s="405" t="s">
        <v>1142</v>
      </c>
      <c r="U140" s="403"/>
      <c r="V140" s="403"/>
      <c r="W140" s="403"/>
      <c r="X140" s="403"/>
      <c r="Y140" s="403"/>
      <c r="Z140" s="403"/>
      <c r="AA140" s="403"/>
      <c r="AB140" s="408">
        <v>12.12</v>
      </c>
    </row>
    <row r="141" spans="1:28" hidden="1" x14ac:dyDescent="0.3">
      <c r="A141" s="391">
        <f>SUMIF('kurzy ČNB'!A:A,'jb IFRS'!J141,'kurzy ČNB'!B:B)</f>
        <v>24.725000000000001</v>
      </c>
      <c r="B141" s="125">
        <f t="shared" si="8"/>
        <v>0.49019211324570267</v>
      </c>
      <c r="C141" s="126">
        <f t="shared" si="9"/>
        <v>0.49000000000000005</v>
      </c>
      <c r="D141" s="407" t="s">
        <v>832</v>
      </c>
      <c r="E141" s="404" t="s">
        <v>855</v>
      </c>
      <c r="F141" s="406">
        <v>12.12</v>
      </c>
      <c r="G141" s="406">
        <v>0.49000000000000005</v>
      </c>
      <c r="H141" s="404" t="s">
        <v>15</v>
      </c>
      <c r="I141" s="404" t="s">
        <v>1103</v>
      </c>
      <c r="J141" s="336" t="s">
        <v>1720</v>
      </c>
      <c r="K141" s="405" t="s">
        <v>866</v>
      </c>
      <c r="L141" s="336" t="s">
        <v>1123</v>
      </c>
      <c r="M141" s="336" t="s">
        <v>869</v>
      </c>
      <c r="N141" s="403"/>
      <c r="O141" s="336" t="s">
        <v>832</v>
      </c>
      <c r="P141" s="336" t="s">
        <v>800</v>
      </c>
      <c r="Q141" s="408">
        <v>12.12</v>
      </c>
      <c r="R141" s="408">
        <v>0.49000000000000005</v>
      </c>
      <c r="S141" s="405" t="s">
        <v>15</v>
      </c>
      <c r="T141" s="405" t="s">
        <v>1142</v>
      </c>
      <c r="U141" s="403"/>
      <c r="V141" s="403"/>
      <c r="W141" s="403"/>
      <c r="X141" s="403"/>
      <c r="Y141" s="403"/>
      <c r="Z141" s="403"/>
      <c r="AA141" s="408">
        <v>12.12</v>
      </c>
      <c r="AB141" s="403"/>
    </row>
    <row r="142" spans="1:28" hidden="1" x14ac:dyDescent="0.3">
      <c r="A142" s="391">
        <f>SUMIF('kurzy ČNB'!A:A,'jb IFRS'!J142,'kurzy ČNB'!B:B)</f>
        <v>24.725000000000001</v>
      </c>
      <c r="B142" s="125">
        <f t="shared" si="8"/>
        <v>-1.2101112234580382</v>
      </c>
      <c r="C142" s="126">
        <f t="shared" si="9"/>
        <v>-1.21</v>
      </c>
      <c r="D142" s="407" t="s">
        <v>800</v>
      </c>
      <c r="E142" s="404" t="s">
        <v>853</v>
      </c>
      <c r="F142" s="406">
        <v>-29.919999999999998</v>
      </c>
      <c r="G142" s="406">
        <v>-1.21</v>
      </c>
      <c r="H142" s="404" t="s">
        <v>15</v>
      </c>
      <c r="I142" s="404" t="s">
        <v>1103</v>
      </c>
      <c r="J142" s="336" t="s">
        <v>1720</v>
      </c>
      <c r="K142" s="405" t="s">
        <v>866</v>
      </c>
      <c r="L142" s="336" t="s">
        <v>1124</v>
      </c>
      <c r="M142" s="336" t="s">
        <v>869</v>
      </c>
      <c r="N142" s="403"/>
      <c r="O142" s="336" t="s">
        <v>832</v>
      </c>
      <c r="P142" s="336" t="s">
        <v>800</v>
      </c>
      <c r="Q142" s="408">
        <v>29.919999999999998</v>
      </c>
      <c r="R142" s="408">
        <v>1.21</v>
      </c>
      <c r="S142" s="405" t="s">
        <v>15</v>
      </c>
      <c r="T142" s="405" t="s">
        <v>1142</v>
      </c>
      <c r="U142" s="403"/>
      <c r="V142" s="403"/>
      <c r="W142" s="403"/>
      <c r="X142" s="403"/>
      <c r="Y142" s="403"/>
      <c r="Z142" s="403"/>
      <c r="AA142" s="403"/>
      <c r="AB142" s="408">
        <v>29.919999999999998</v>
      </c>
    </row>
    <row r="143" spans="1:28" hidden="1" x14ac:dyDescent="0.3">
      <c r="A143" s="391">
        <f>SUMIF('kurzy ČNB'!A:A,'jb IFRS'!J143,'kurzy ČNB'!B:B)</f>
        <v>24.725000000000001</v>
      </c>
      <c r="B143" s="125">
        <f t="shared" si="8"/>
        <v>1.2101112234580382</v>
      </c>
      <c r="C143" s="126">
        <f t="shared" si="9"/>
        <v>1.21</v>
      </c>
      <c r="D143" s="407" t="s">
        <v>832</v>
      </c>
      <c r="E143" s="404" t="s">
        <v>855</v>
      </c>
      <c r="F143" s="406">
        <v>29.919999999999998</v>
      </c>
      <c r="G143" s="406">
        <v>1.21</v>
      </c>
      <c r="H143" s="404" t="s">
        <v>15</v>
      </c>
      <c r="I143" s="404" t="s">
        <v>1103</v>
      </c>
      <c r="J143" s="336" t="s">
        <v>1720</v>
      </c>
      <c r="K143" s="405" t="s">
        <v>866</v>
      </c>
      <c r="L143" s="336" t="s">
        <v>1124</v>
      </c>
      <c r="M143" s="336" t="s">
        <v>869</v>
      </c>
      <c r="N143" s="403"/>
      <c r="O143" s="336" t="s">
        <v>832</v>
      </c>
      <c r="P143" s="336" t="s">
        <v>800</v>
      </c>
      <c r="Q143" s="408">
        <v>29.919999999999998</v>
      </c>
      <c r="R143" s="408">
        <v>1.21</v>
      </c>
      <c r="S143" s="405" t="s">
        <v>15</v>
      </c>
      <c r="T143" s="405" t="s">
        <v>1142</v>
      </c>
      <c r="U143" s="403"/>
      <c r="V143" s="403"/>
      <c r="W143" s="403"/>
      <c r="X143" s="403"/>
      <c r="Y143" s="403"/>
      <c r="Z143" s="403"/>
      <c r="AA143" s="408">
        <v>29.919999999999998</v>
      </c>
      <c r="AB143" s="403"/>
    </row>
    <row r="144" spans="1:28" hidden="1" x14ac:dyDescent="0.3">
      <c r="A144" s="391">
        <f>SUMIF('kurzy ČNB'!A:A,'jb IFRS'!J144,'kurzy ČNB'!B:B)</f>
        <v>24.725000000000001</v>
      </c>
      <c r="B144" s="125">
        <f t="shared" si="8"/>
        <v>-7.8899898887765421</v>
      </c>
      <c r="C144" s="126">
        <f t="shared" si="9"/>
        <v>-7.89</v>
      </c>
      <c r="D144" s="407" t="s">
        <v>800</v>
      </c>
      <c r="E144" s="404" t="s">
        <v>853</v>
      </c>
      <c r="F144" s="406">
        <v>-195.08</v>
      </c>
      <c r="G144" s="406">
        <v>-7.89</v>
      </c>
      <c r="H144" s="404" t="s">
        <v>15</v>
      </c>
      <c r="I144" s="404" t="s">
        <v>1103</v>
      </c>
      <c r="J144" s="336" t="s">
        <v>1720</v>
      </c>
      <c r="K144" s="405" t="s">
        <v>866</v>
      </c>
      <c r="L144" s="336" t="s">
        <v>1509</v>
      </c>
      <c r="M144" s="336" t="s">
        <v>869</v>
      </c>
      <c r="N144" s="403"/>
      <c r="O144" s="336" t="s">
        <v>832</v>
      </c>
      <c r="P144" s="336" t="s">
        <v>800</v>
      </c>
      <c r="Q144" s="408">
        <v>195.08</v>
      </c>
      <c r="R144" s="408">
        <v>7.89</v>
      </c>
      <c r="S144" s="405" t="s">
        <v>15</v>
      </c>
      <c r="T144" s="405" t="s">
        <v>1142</v>
      </c>
      <c r="U144" s="403"/>
      <c r="V144" s="403"/>
      <c r="W144" s="403"/>
      <c r="X144" s="403"/>
      <c r="Y144" s="403"/>
      <c r="Z144" s="403"/>
      <c r="AA144" s="403"/>
      <c r="AB144" s="408">
        <v>195.08</v>
      </c>
    </row>
    <row r="145" spans="1:28" hidden="1" x14ac:dyDescent="0.3">
      <c r="A145" s="391">
        <f>SUMIF('kurzy ČNB'!A:A,'jb IFRS'!J145,'kurzy ČNB'!B:B)</f>
        <v>24.725000000000001</v>
      </c>
      <c r="B145" s="125">
        <f t="shared" si="8"/>
        <v>7.8899898887765421</v>
      </c>
      <c r="C145" s="126">
        <f t="shared" si="9"/>
        <v>7.89</v>
      </c>
      <c r="D145" s="407" t="s">
        <v>832</v>
      </c>
      <c r="E145" s="404" t="s">
        <v>855</v>
      </c>
      <c r="F145" s="406">
        <v>195.08</v>
      </c>
      <c r="G145" s="406">
        <v>7.89</v>
      </c>
      <c r="H145" s="404" t="s">
        <v>15</v>
      </c>
      <c r="I145" s="404" t="s">
        <v>1103</v>
      </c>
      <c r="J145" s="336" t="s">
        <v>1720</v>
      </c>
      <c r="K145" s="405" t="s">
        <v>866</v>
      </c>
      <c r="L145" s="336" t="s">
        <v>1509</v>
      </c>
      <c r="M145" s="336" t="s">
        <v>869</v>
      </c>
      <c r="N145" s="403"/>
      <c r="O145" s="336" t="s">
        <v>832</v>
      </c>
      <c r="P145" s="336" t="s">
        <v>800</v>
      </c>
      <c r="Q145" s="408">
        <v>195.08</v>
      </c>
      <c r="R145" s="408">
        <v>7.89</v>
      </c>
      <c r="S145" s="405" t="s">
        <v>15</v>
      </c>
      <c r="T145" s="405" t="s">
        <v>1142</v>
      </c>
      <c r="U145" s="403"/>
      <c r="V145" s="403"/>
      <c r="W145" s="403"/>
      <c r="X145" s="403"/>
      <c r="Y145" s="403"/>
      <c r="Z145" s="403"/>
      <c r="AA145" s="408">
        <v>195.08</v>
      </c>
      <c r="AB145" s="403"/>
    </row>
    <row r="146" spans="1:28" hidden="1" x14ac:dyDescent="0.3">
      <c r="A146" s="391">
        <f>SUMIF('kurzy ČNB'!A:A,'jb IFRS'!J146,'kurzy ČNB'!B:B)</f>
        <v>24.725000000000001</v>
      </c>
      <c r="B146" s="125">
        <f t="shared" si="8"/>
        <v>-12.93993933265925</v>
      </c>
      <c r="C146" s="126">
        <f t="shared" si="9"/>
        <v>-12.94</v>
      </c>
      <c r="D146" s="407" t="s">
        <v>800</v>
      </c>
      <c r="E146" s="404" t="s">
        <v>853</v>
      </c>
      <c r="F146" s="406">
        <v>-319.94</v>
      </c>
      <c r="G146" s="406">
        <v>-12.94</v>
      </c>
      <c r="H146" s="404" t="s">
        <v>15</v>
      </c>
      <c r="I146" s="404" t="s">
        <v>1103</v>
      </c>
      <c r="J146" s="336" t="s">
        <v>1720</v>
      </c>
      <c r="K146" s="405" t="s">
        <v>866</v>
      </c>
      <c r="L146" s="336" t="s">
        <v>1722</v>
      </c>
      <c r="M146" s="336" t="s">
        <v>869</v>
      </c>
      <c r="N146" s="403"/>
      <c r="O146" s="336" t="s">
        <v>832</v>
      </c>
      <c r="P146" s="336" t="s">
        <v>800</v>
      </c>
      <c r="Q146" s="408">
        <v>319.94</v>
      </c>
      <c r="R146" s="408">
        <v>12.94</v>
      </c>
      <c r="S146" s="405" t="s">
        <v>15</v>
      </c>
      <c r="T146" s="405" t="s">
        <v>1142</v>
      </c>
      <c r="U146" s="403"/>
      <c r="V146" s="403"/>
      <c r="W146" s="403"/>
      <c r="X146" s="403"/>
      <c r="Y146" s="403"/>
      <c r="Z146" s="403"/>
      <c r="AA146" s="403"/>
      <c r="AB146" s="408">
        <v>319.94</v>
      </c>
    </row>
    <row r="147" spans="1:28" hidden="1" x14ac:dyDescent="0.3">
      <c r="A147" s="391">
        <f>SUMIF('kurzy ČNB'!A:A,'jb IFRS'!J147,'kurzy ČNB'!B:B)</f>
        <v>24.725000000000001</v>
      </c>
      <c r="B147" s="125">
        <f t="shared" si="8"/>
        <v>12.93993933265925</v>
      </c>
      <c r="C147" s="126">
        <f t="shared" si="9"/>
        <v>12.94</v>
      </c>
      <c r="D147" s="407" t="s">
        <v>832</v>
      </c>
      <c r="E147" s="404" t="s">
        <v>855</v>
      </c>
      <c r="F147" s="406">
        <v>319.94</v>
      </c>
      <c r="G147" s="406">
        <v>12.94</v>
      </c>
      <c r="H147" s="404" t="s">
        <v>15</v>
      </c>
      <c r="I147" s="404" t="s">
        <v>1103</v>
      </c>
      <c r="J147" s="336" t="s">
        <v>1720</v>
      </c>
      <c r="K147" s="405" t="s">
        <v>866</v>
      </c>
      <c r="L147" s="336" t="s">
        <v>1722</v>
      </c>
      <c r="M147" s="336" t="s">
        <v>869</v>
      </c>
      <c r="N147" s="403"/>
      <c r="O147" s="336" t="s">
        <v>832</v>
      </c>
      <c r="P147" s="336" t="s">
        <v>800</v>
      </c>
      <c r="Q147" s="408">
        <v>319.94</v>
      </c>
      <c r="R147" s="408">
        <v>12.94</v>
      </c>
      <c r="S147" s="405" t="s">
        <v>15</v>
      </c>
      <c r="T147" s="405" t="s">
        <v>1142</v>
      </c>
      <c r="U147" s="403"/>
      <c r="V147" s="403"/>
      <c r="W147" s="403"/>
      <c r="X147" s="403"/>
      <c r="Y147" s="403"/>
      <c r="Z147" s="403"/>
      <c r="AA147" s="408">
        <v>319.94</v>
      </c>
      <c r="AB147" s="403"/>
    </row>
    <row r="148" spans="1:28" hidden="1" x14ac:dyDescent="0.3">
      <c r="A148" s="391">
        <f>SUMIF('kurzy ČNB'!A:A,'jb IFRS'!J148,'kurzy ČNB'!B:B)</f>
        <v>24.704999999999998</v>
      </c>
      <c r="B148" s="125">
        <f t="shared" si="8"/>
        <v>-280.15381501720299</v>
      </c>
      <c r="C148" s="126">
        <f t="shared" si="9"/>
        <v>-280.15381501720299</v>
      </c>
      <c r="D148" s="407" t="s">
        <v>802</v>
      </c>
      <c r="E148" s="404" t="s">
        <v>853</v>
      </c>
      <c r="F148" s="406">
        <v>-6921.2</v>
      </c>
      <c r="G148" s="406">
        <v>0</v>
      </c>
      <c r="H148" s="403"/>
      <c r="I148" s="404" t="s">
        <v>1103</v>
      </c>
      <c r="J148" s="336" t="s">
        <v>1723</v>
      </c>
      <c r="K148" s="405" t="s">
        <v>856</v>
      </c>
      <c r="L148" s="336" t="s">
        <v>1724</v>
      </c>
      <c r="M148" s="336" t="s">
        <v>1725</v>
      </c>
      <c r="N148" s="336" t="s">
        <v>1483</v>
      </c>
      <c r="O148" s="336" t="s">
        <v>826</v>
      </c>
      <c r="P148" s="336" t="s">
        <v>802</v>
      </c>
      <c r="Q148" s="408">
        <v>6921.2</v>
      </c>
      <c r="R148" s="408">
        <v>0</v>
      </c>
      <c r="S148" s="403"/>
      <c r="T148" s="403"/>
      <c r="U148" s="336" t="s">
        <v>1726</v>
      </c>
      <c r="V148" s="403"/>
      <c r="W148" s="403"/>
      <c r="X148" s="403"/>
      <c r="Y148" s="403"/>
      <c r="Z148" s="403"/>
      <c r="AA148" s="403"/>
      <c r="AB148" s="408">
        <v>6921.2</v>
      </c>
    </row>
    <row r="149" spans="1:28" hidden="1" x14ac:dyDescent="0.3">
      <c r="A149" s="391">
        <f>SUMIF('kurzy ČNB'!A:A,'jb IFRS'!J149,'kurzy ČNB'!B:B)</f>
        <v>24.704999999999998</v>
      </c>
      <c r="B149" s="125">
        <f t="shared" si="8"/>
        <v>280.15381501720299</v>
      </c>
      <c r="C149" s="126">
        <f t="shared" si="9"/>
        <v>280.15381501720299</v>
      </c>
      <c r="D149" s="407" t="s">
        <v>826</v>
      </c>
      <c r="E149" s="404" t="s">
        <v>855</v>
      </c>
      <c r="F149" s="406">
        <v>6921.2</v>
      </c>
      <c r="G149" s="406">
        <v>0</v>
      </c>
      <c r="H149" s="403"/>
      <c r="I149" s="404" t="s">
        <v>1103</v>
      </c>
      <c r="J149" s="336" t="s">
        <v>1723</v>
      </c>
      <c r="K149" s="405" t="s">
        <v>856</v>
      </c>
      <c r="L149" s="336" t="s">
        <v>1724</v>
      </c>
      <c r="M149" s="336" t="s">
        <v>1725</v>
      </c>
      <c r="N149" s="336" t="s">
        <v>1483</v>
      </c>
      <c r="O149" s="336" t="s">
        <v>826</v>
      </c>
      <c r="P149" s="336" t="s">
        <v>802</v>
      </c>
      <c r="Q149" s="408">
        <v>6921.2</v>
      </c>
      <c r="R149" s="408">
        <v>0</v>
      </c>
      <c r="S149" s="403"/>
      <c r="T149" s="403"/>
      <c r="U149" s="336" t="s">
        <v>1726</v>
      </c>
      <c r="V149" s="403"/>
      <c r="W149" s="403"/>
      <c r="X149" s="403"/>
      <c r="Y149" s="403"/>
      <c r="Z149" s="403"/>
      <c r="AA149" s="408">
        <v>6921.2</v>
      </c>
      <c r="AB149" s="403"/>
    </row>
    <row r="150" spans="1:28" hidden="1" x14ac:dyDescent="0.3">
      <c r="A150" s="391">
        <f>SUMIF('kurzy ČNB'!A:A,'jb IFRS'!J150,'kurzy ČNB'!B:B)</f>
        <v>24.704999999999998</v>
      </c>
      <c r="B150" s="125">
        <f t="shared" si="8"/>
        <v>-126793.23011536128</v>
      </c>
      <c r="C150" s="126">
        <f t="shared" si="9"/>
        <v>-126793.23</v>
      </c>
      <c r="D150" s="407" t="s">
        <v>834</v>
      </c>
      <c r="E150" s="404" t="s">
        <v>853</v>
      </c>
      <c r="F150" s="406">
        <v>-3132426.75</v>
      </c>
      <c r="G150" s="406">
        <v>-126793.23</v>
      </c>
      <c r="H150" s="404" t="s">
        <v>15</v>
      </c>
      <c r="I150" s="404" t="s">
        <v>1103</v>
      </c>
      <c r="J150" s="336" t="s">
        <v>1723</v>
      </c>
      <c r="K150" s="405" t="s">
        <v>865</v>
      </c>
      <c r="L150" s="336" t="s">
        <v>1727</v>
      </c>
      <c r="M150" s="336" t="s">
        <v>1728</v>
      </c>
      <c r="N150" s="403"/>
      <c r="O150" s="336" t="s">
        <v>772</v>
      </c>
      <c r="P150" s="336" t="s">
        <v>834</v>
      </c>
      <c r="Q150" s="408">
        <v>3132426.75</v>
      </c>
      <c r="R150" s="408">
        <v>126793.23</v>
      </c>
      <c r="S150" s="405" t="s">
        <v>15</v>
      </c>
      <c r="T150" s="405" t="s">
        <v>1547</v>
      </c>
      <c r="U150" s="336" t="s">
        <v>1518</v>
      </c>
      <c r="V150" s="403"/>
      <c r="W150" s="403"/>
      <c r="X150" s="403"/>
      <c r="Y150" s="403"/>
      <c r="Z150" s="403"/>
      <c r="AA150" s="403"/>
      <c r="AB150" s="408">
        <v>3132426.75</v>
      </c>
    </row>
    <row r="151" spans="1:28" hidden="1" x14ac:dyDescent="0.3">
      <c r="A151" s="391">
        <f>SUMIF('kurzy ČNB'!A:A,'jb IFRS'!J151,'kurzy ČNB'!B:B)</f>
        <v>24.704999999999998</v>
      </c>
      <c r="B151" s="125">
        <f t="shared" si="8"/>
        <v>126793.23011536128</v>
      </c>
      <c r="C151" s="126">
        <f t="shared" si="9"/>
        <v>126793.23</v>
      </c>
      <c r="D151" s="407" t="s">
        <v>772</v>
      </c>
      <c r="E151" s="404" t="s">
        <v>855</v>
      </c>
      <c r="F151" s="406">
        <v>3132426.75</v>
      </c>
      <c r="G151" s="406">
        <v>126793.23</v>
      </c>
      <c r="H151" s="404" t="s">
        <v>15</v>
      </c>
      <c r="I151" s="404" t="s">
        <v>1103</v>
      </c>
      <c r="J151" s="336" t="s">
        <v>1723</v>
      </c>
      <c r="K151" s="405" t="s">
        <v>865</v>
      </c>
      <c r="L151" s="336" t="s">
        <v>1727</v>
      </c>
      <c r="M151" s="336" t="s">
        <v>1728</v>
      </c>
      <c r="N151" s="403"/>
      <c r="O151" s="336" t="s">
        <v>772</v>
      </c>
      <c r="P151" s="336" t="s">
        <v>834</v>
      </c>
      <c r="Q151" s="408">
        <v>3132426.75</v>
      </c>
      <c r="R151" s="408">
        <v>126793.23</v>
      </c>
      <c r="S151" s="405" t="s">
        <v>15</v>
      </c>
      <c r="T151" s="405" t="s">
        <v>1547</v>
      </c>
      <c r="U151" s="336" t="s">
        <v>1518</v>
      </c>
      <c r="V151" s="403"/>
      <c r="W151" s="403"/>
      <c r="X151" s="403"/>
      <c r="Y151" s="403"/>
      <c r="Z151" s="403"/>
      <c r="AA151" s="408">
        <v>3132426.75</v>
      </c>
      <c r="AB151" s="403"/>
    </row>
    <row r="152" spans="1:28" hidden="1" x14ac:dyDescent="0.3">
      <c r="A152" s="391">
        <f>SUMIF('kurzy ČNB'!A:A,'jb IFRS'!J152,'kurzy ČNB'!B:B)</f>
        <v>24.704999999999998</v>
      </c>
      <c r="B152" s="125">
        <f t="shared" si="8"/>
        <v>-119041.10989678204</v>
      </c>
      <c r="C152" s="126">
        <f t="shared" si="9"/>
        <v>-119041.11</v>
      </c>
      <c r="D152" s="407" t="s">
        <v>818</v>
      </c>
      <c r="E152" s="404" t="s">
        <v>853</v>
      </c>
      <c r="F152" s="406">
        <v>-2940910.62</v>
      </c>
      <c r="G152" s="406">
        <v>-119041.11</v>
      </c>
      <c r="H152" s="404" t="s">
        <v>15</v>
      </c>
      <c r="I152" s="404" t="s">
        <v>1103</v>
      </c>
      <c r="J152" s="336" t="s">
        <v>1723</v>
      </c>
      <c r="K152" s="405" t="s">
        <v>865</v>
      </c>
      <c r="L152" s="336" t="s">
        <v>1729</v>
      </c>
      <c r="M152" s="336" t="s">
        <v>1730</v>
      </c>
      <c r="N152" s="403"/>
      <c r="O152" s="336" t="s">
        <v>828</v>
      </c>
      <c r="P152" s="336" t="s">
        <v>818</v>
      </c>
      <c r="Q152" s="408">
        <v>2940910.62</v>
      </c>
      <c r="R152" s="408">
        <v>119041.11</v>
      </c>
      <c r="S152" s="405" t="s">
        <v>15</v>
      </c>
      <c r="T152" s="405" t="s">
        <v>1547</v>
      </c>
      <c r="U152" s="336" t="s">
        <v>1517</v>
      </c>
      <c r="V152" s="403"/>
      <c r="W152" s="403"/>
      <c r="X152" s="403"/>
      <c r="Y152" s="403"/>
      <c r="Z152" s="403"/>
      <c r="AA152" s="403"/>
      <c r="AB152" s="408">
        <v>2940910.62</v>
      </c>
    </row>
    <row r="153" spans="1:28" hidden="1" x14ac:dyDescent="0.3">
      <c r="A153" s="391">
        <f>SUMIF('kurzy ČNB'!A:A,'jb IFRS'!J153,'kurzy ČNB'!B:B)</f>
        <v>24.704999999999998</v>
      </c>
      <c r="B153" s="125">
        <f t="shared" si="8"/>
        <v>119041.10989678204</v>
      </c>
      <c r="C153" s="126">
        <f t="shared" si="9"/>
        <v>119041.11</v>
      </c>
      <c r="D153" s="407" t="s">
        <v>828</v>
      </c>
      <c r="E153" s="404" t="s">
        <v>855</v>
      </c>
      <c r="F153" s="406">
        <v>2940910.62</v>
      </c>
      <c r="G153" s="406">
        <v>119041.11</v>
      </c>
      <c r="H153" s="404" t="s">
        <v>15</v>
      </c>
      <c r="I153" s="404" t="s">
        <v>1103</v>
      </c>
      <c r="J153" s="336" t="s">
        <v>1723</v>
      </c>
      <c r="K153" s="405" t="s">
        <v>865</v>
      </c>
      <c r="L153" s="336" t="s">
        <v>1729</v>
      </c>
      <c r="M153" s="336" t="s">
        <v>1730</v>
      </c>
      <c r="N153" s="403"/>
      <c r="O153" s="336" t="s">
        <v>828</v>
      </c>
      <c r="P153" s="336" t="s">
        <v>818</v>
      </c>
      <c r="Q153" s="408">
        <v>2940910.62</v>
      </c>
      <c r="R153" s="408">
        <v>119041.11</v>
      </c>
      <c r="S153" s="405" t="s">
        <v>15</v>
      </c>
      <c r="T153" s="405" t="s">
        <v>1547</v>
      </c>
      <c r="U153" s="336" t="s">
        <v>1517</v>
      </c>
      <c r="V153" s="403"/>
      <c r="W153" s="403"/>
      <c r="X153" s="403"/>
      <c r="Y153" s="403"/>
      <c r="Z153" s="403"/>
      <c r="AA153" s="408">
        <v>2940910.62</v>
      </c>
      <c r="AB153" s="403"/>
    </row>
    <row r="154" spans="1:28" hidden="1" x14ac:dyDescent="0.3">
      <c r="A154" s="391">
        <f>SUMIF('kurzy ČNB'!A:A,'jb IFRS'!J154,'kurzy ČNB'!B:B)</f>
        <v>24.765000000000001</v>
      </c>
      <c r="B154" s="125">
        <f t="shared" si="8"/>
        <v>-1351.8098122350091</v>
      </c>
      <c r="C154" s="126">
        <f t="shared" si="9"/>
        <v>-1351.81</v>
      </c>
      <c r="D154" s="407" t="s">
        <v>800</v>
      </c>
      <c r="E154" s="404" t="s">
        <v>853</v>
      </c>
      <c r="F154" s="406">
        <v>-33477.57</v>
      </c>
      <c r="G154" s="406">
        <v>-1351.81</v>
      </c>
      <c r="H154" s="404" t="s">
        <v>15</v>
      </c>
      <c r="I154" s="404" t="s">
        <v>1125</v>
      </c>
      <c r="J154" s="336" t="s">
        <v>1731</v>
      </c>
      <c r="K154" s="405" t="s">
        <v>866</v>
      </c>
      <c r="L154" s="336" t="s">
        <v>1127</v>
      </c>
      <c r="M154" s="336" t="s">
        <v>1732</v>
      </c>
      <c r="N154" s="336" t="s">
        <v>1482</v>
      </c>
      <c r="O154" s="336" t="s">
        <v>802</v>
      </c>
      <c r="P154" s="336" t="s">
        <v>800</v>
      </c>
      <c r="Q154" s="408">
        <v>33477.57</v>
      </c>
      <c r="R154" s="408">
        <v>1351.81</v>
      </c>
      <c r="S154" s="405" t="s">
        <v>15</v>
      </c>
      <c r="T154" s="405" t="s">
        <v>1733</v>
      </c>
      <c r="U154" s="336" t="s">
        <v>1714</v>
      </c>
      <c r="V154" s="403"/>
      <c r="W154" s="403"/>
      <c r="X154" s="403"/>
      <c r="Y154" s="403"/>
      <c r="Z154" s="403"/>
      <c r="AA154" s="403"/>
      <c r="AB154" s="408">
        <v>33477.57</v>
      </c>
    </row>
    <row r="155" spans="1:28" hidden="1" x14ac:dyDescent="0.3">
      <c r="A155" s="391">
        <f>SUMIF('kurzy ČNB'!A:A,'jb IFRS'!J155,'kurzy ČNB'!B:B)</f>
        <v>24.765000000000001</v>
      </c>
      <c r="B155" s="125">
        <f t="shared" si="8"/>
        <v>1351.8098122350091</v>
      </c>
      <c r="C155" s="126">
        <f t="shared" si="9"/>
        <v>1351.81</v>
      </c>
      <c r="D155" s="407" t="s">
        <v>802</v>
      </c>
      <c r="E155" s="404" t="s">
        <v>855</v>
      </c>
      <c r="F155" s="406">
        <v>33477.57</v>
      </c>
      <c r="G155" s="406">
        <v>1351.81</v>
      </c>
      <c r="H155" s="404" t="s">
        <v>15</v>
      </c>
      <c r="I155" s="404" t="s">
        <v>1125</v>
      </c>
      <c r="J155" s="336" t="s">
        <v>1731</v>
      </c>
      <c r="K155" s="405" t="s">
        <v>866</v>
      </c>
      <c r="L155" s="336" t="s">
        <v>1127</v>
      </c>
      <c r="M155" s="336" t="s">
        <v>1732</v>
      </c>
      <c r="N155" s="336" t="s">
        <v>1482</v>
      </c>
      <c r="O155" s="336" t="s">
        <v>802</v>
      </c>
      <c r="P155" s="336" t="s">
        <v>800</v>
      </c>
      <c r="Q155" s="408">
        <v>33477.57</v>
      </c>
      <c r="R155" s="408">
        <v>1351.81</v>
      </c>
      <c r="S155" s="405" t="s">
        <v>15</v>
      </c>
      <c r="T155" s="405" t="s">
        <v>1733</v>
      </c>
      <c r="U155" s="336" t="s">
        <v>1714</v>
      </c>
      <c r="V155" s="403"/>
      <c r="W155" s="403"/>
      <c r="X155" s="403"/>
      <c r="Y155" s="403"/>
      <c r="Z155" s="403"/>
      <c r="AA155" s="408">
        <v>33477.57</v>
      </c>
      <c r="AB155" s="403"/>
    </row>
    <row r="156" spans="1:28" hidden="1" x14ac:dyDescent="0.3">
      <c r="A156" s="391">
        <f>SUMIF('kurzy ČNB'!A:A,'jb IFRS'!J156,'kurzy ČNB'!B:B)</f>
        <v>24.765000000000001</v>
      </c>
      <c r="B156" s="125">
        <f t="shared" si="8"/>
        <v>-52.270139309509389</v>
      </c>
      <c r="C156" s="126">
        <f t="shared" si="9"/>
        <v>-52.27</v>
      </c>
      <c r="D156" s="407" t="s">
        <v>800</v>
      </c>
      <c r="E156" s="404" t="s">
        <v>853</v>
      </c>
      <c r="F156" s="406">
        <v>-1294.47</v>
      </c>
      <c r="G156" s="406">
        <v>-52.27</v>
      </c>
      <c r="H156" s="404" t="s">
        <v>15</v>
      </c>
      <c r="I156" s="404" t="s">
        <v>1125</v>
      </c>
      <c r="J156" s="336" t="s">
        <v>1731</v>
      </c>
      <c r="K156" s="405" t="s">
        <v>866</v>
      </c>
      <c r="L156" s="336" t="s">
        <v>1127</v>
      </c>
      <c r="M156" s="336" t="s">
        <v>1514</v>
      </c>
      <c r="N156" s="336" t="s">
        <v>1482</v>
      </c>
      <c r="O156" s="336" t="s">
        <v>830</v>
      </c>
      <c r="P156" s="336" t="s">
        <v>800</v>
      </c>
      <c r="Q156" s="408">
        <v>1294.47</v>
      </c>
      <c r="R156" s="408">
        <v>52.27</v>
      </c>
      <c r="S156" s="405" t="s">
        <v>15</v>
      </c>
      <c r="T156" s="405" t="s">
        <v>1733</v>
      </c>
      <c r="U156" s="336" t="s">
        <v>1714</v>
      </c>
      <c r="V156" s="403"/>
      <c r="W156" s="403"/>
      <c r="X156" s="403"/>
      <c r="Y156" s="403"/>
      <c r="Z156" s="403"/>
      <c r="AA156" s="403"/>
      <c r="AB156" s="408">
        <v>1294.47</v>
      </c>
    </row>
    <row r="157" spans="1:28" hidden="1" x14ac:dyDescent="0.3">
      <c r="A157" s="391">
        <f>SUMIF('kurzy ČNB'!A:A,'jb IFRS'!J157,'kurzy ČNB'!B:B)</f>
        <v>24.765000000000001</v>
      </c>
      <c r="B157" s="125">
        <f t="shared" si="8"/>
        <v>52.270139309509389</v>
      </c>
      <c r="C157" s="126">
        <f t="shared" si="9"/>
        <v>52.27</v>
      </c>
      <c r="D157" s="407" t="s">
        <v>830</v>
      </c>
      <c r="E157" s="404" t="s">
        <v>855</v>
      </c>
      <c r="F157" s="406">
        <v>1294.47</v>
      </c>
      <c r="G157" s="406">
        <v>52.27</v>
      </c>
      <c r="H157" s="404" t="s">
        <v>15</v>
      </c>
      <c r="I157" s="404" t="s">
        <v>1125</v>
      </c>
      <c r="J157" s="336" t="s">
        <v>1731</v>
      </c>
      <c r="K157" s="405" t="s">
        <v>866</v>
      </c>
      <c r="L157" s="336" t="s">
        <v>1127</v>
      </c>
      <c r="M157" s="336" t="s">
        <v>1514</v>
      </c>
      <c r="N157" s="336" t="s">
        <v>1482</v>
      </c>
      <c r="O157" s="336" t="s">
        <v>830</v>
      </c>
      <c r="P157" s="336" t="s">
        <v>800</v>
      </c>
      <c r="Q157" s="408">
        <v>1294.47</v>
      </c>
      <c r="R157" s="408">
        <v>52.27</v>
      </c>
      <c r="S157" s="405" t="s">
        <v>15</v>
      </c>
      <c r="T157" s="405" t="s">
        <v>1733</v>
      </c>
      <c r="U157" s="336" t="s">
        <v>1714</v>
      </c>
      <c r="V157" s="403"/>
      <c r="W157" s="403"/>
      <c r="X157" s="403"/>
      <c r="Y157" s="403"/>
      <c r="Z157" s="403"/>
      <c r="AA157" s="408">
        <v>1294.47</v>
      </c>
      <c r="AB157" s="403"/>
    </row>
    <row r="158" spans="1:28" hidden="1" x14ac:dyDescent="0.3">
      <c r="A158" s="391">
        <f>SUMIF('kurzy ČNB'!A:A,'jb IFRS'!J158,'kurzy ČNB'!B:B)</f>
        <v>24.7</v>
      </c>
      <c r="B158" s="125">
        <f t="shared" si="8"/>
        <v>-2867.1198380566802</v>
      </c>
      <c r="C158" s="126">
        <f t="shared" si="9"/>
        <v>-2867.12</v>
      </c>
      <c r="D158" s="407" t="s">
        <v>800</v>
      </c>
      <c r="E158" s="404" t="s">
        <v>853</v>
      </c>
      <c r="F158" s="406">
        <v>-70817.86</v>
      </c>
      <c r="G158" s="406">
        <v>-2867.12</v>
      </c>
      <c r="H158" s="404" t="s">
        <v>15</v>
      </c>
      <c r="I158" s="404" t="s">
        <v>1125</v>
      </c>
      <c r="J158" s="336" t="s">
        <v>1734</v>
      </c>
      <c r="K158" s="405" t="s">
        <v>866</v>
      </c>
      <c r="L158" s="336" t="s">
        <v>1130</v>
      </c>
      <c r="M158" s="336" t="s">
        <v>1667</v>
      </c>
      <c r="N158" s="403"/>
      <c r="O158" s="336" t="s">
        <v>1009</v>
      </c>
      <c r="P158" s="336" t="s">
        <v>800</v>
      </c>
      <c r="Q158" s="408">
        <v>70817.86</v>
      </c>
      <c r="R158" s="408">
        <v>2867.12</v>
      </c>
      <c r="S158" s="405" t="s">
        <v>15</v>
      </c>
      <c r="T158" s="405" t="s">
        <v>1735</v>
      </c>
      <c r="U158" s="336" t="s">
        <v>1074</v>
      </c>
      <c r="V158" s="403"/>
      <c r="W158" s="403"/>
      <c r="X158" s="403"/>
      <c r="Y158" s="403"/>
      <c r="Z158" s="403"/>
      <c r="AA158" s="403"/>
      <c r="AB158" s="408">
        <v>70817.86</v>
      </c>
    </row>
    <row r="159" spans="1:28" hidden="1" x14ac:dyDescent="0.3">
      <c r="A159" s="391">
        <f>SUMIF('kurzy ČNB'!A:A,'jb IFRS'!J159,'kurzy ČNB'!B:B)</f>
        <v>24.7</v>
      </c>
      <c r="B159" s="125">
        <f t="shared" si="8"/>
        <v>2867.1198380566802</v>
      </c>
      <c r="C159" s="126">
        <f t="shared" si="9"/>
        <v>2867.12</v>
      </c>
      <c r="D159" s="407" t="s">
        <v>1009</v>
      </c>
      <c r="E159" s="404" t="s">
        <v>855</v>
      </c>
      <c r="F159" s="406">
        <v>70817.86</v>
      </c>
      <c r="G159" s="406">
        <v>2867.12</v>
      </c>
      <c r="H159" s="404" t="s">
        <v>15</v>
      </c>
      <c r="I159" s="404" t="s">
        <v>1125</v>
      </c>
      <c r="J159" s="336" t="s">
        <v>1734</v>
      </c>
      <c r="K159" s="405" t="s">
        <v>866</v>
      </c>
      <c r="L159" s="336" t="s">
        <v>1130</v>
      </c>
      <c r="M159" s="336" t="s">
        <v>1667</v>
      </c>
      <c r="N159" s="403"/>
      <c r="O159" s="336" t="s">
        <v>1009</v>
      </c>
      <c r="P159" s="336" t="s">
        <v>800</v>
      </c>
      <c r="Q159" s="408">
        <v>70817.86</v>
      </c>
      <c r="R159" s="408">
        <v>2867.12</v>
      </c>
      <c r="S159" s="405" t="s">
        <v>15</v>
      </c>
      <c r="T159" s="405" t="s">
        <v>1735</v>
      </c>
      <c r="U159" s="336" t="s">
        <v>1074</v>
      </c>
      <c r="V159" s="403"/>
      <c r="W159" s="403"/>
      <c r="X159" s="403"/>
      <c r="Y159" s="403"/>
      <c r="Z159" s="403"/>
      <c r="AA159" s="408">
        <v>70817.86</v>
      </c>
      <c r="AB159" s="403"/>
    </row>
    <row r="160" spans="1:28" hidden="1" x14ac:dyDescent="0.3">
      <c r="A160" s="391">
        <f>SUMIF('kurzy ČNB'!A:A,'jb IFRS'!J160,'kurzy ČNB'!B:B)</f>
        <v>24.885000000000002</v>
      </c>
      <c r="B160" s="125">
        <f t="shared" si="8"/>
        <v>-278.12738597548724</v>
      </c>
      <c r="C160" s="126">
        <f t="shared" si="9"/>
        <v>-287.58</v>
      </c>
      <c r="D160" s="407" t="s">
        <v>800</v>
      </c>
      <c r="E160" s="404" t="s">
        <v>853</v>
      </c>
      <c r="F160" s="406">
        <v>-6921.2</v>
      </c>
      <c r="G160" s="406">
        <v>-287.58</v>
      </c>
      <c r="H160" s="404" t="s">
        <v>15</v>
      </c>
      <c r="I160" s="404" t="s">
        <v>1125</v>
      </c>
      <c r="J160" s="336" t="s">
        <v>1736</v>
      </c>
      <c r="K160" s="405" t="s">
        <v>866</v>
      </c>
      <c r="L160" s="336" t="s">
        <v>1131</v>
      </c>
      <c r="M160" s="336" t="s">
        <v>1737</v>
      </c>
      <c r="N160" s="336" t="s">
        <v>1483</v>
      </c>
      <c r="O160" s="336" t="s">
        <v>802</v>
      </c>
      <c r="P160" s="336" t="s">
        <v>800</v>
      </c>
      <c r="Q160" s="408">
        <v>6921.2</v>
      </c>
      <c r="R160" s="408">
        <v>287.58</v>
      </c>
      <c r="S160" s="405" t="s">
        <v>15</v>
      </c>
      <c r="T160" s="405" t="s">
        <v>1738</v>
      </c>
      <c r="U160" s="336" t="s">
        <v>1726</v>
      </c>
      <c r="V160" s="403"/>
      <c r="W160" s="403"/>
      <c r="X160" s="403"/>
      <c r="Y160" s="403"/>
      <c r="Z160" s="403"/>
      <c r="AA160" s="403"/>
      <c r="AB160" s="408">
        <v>6921.2</v>
      </c>
    </row>
    <row r="161" spans="1:28" hidden="1" x14ac:dyDescent="0.3">
      <c r="A161" s="391">
        <f>SUMIF('kurzy ČNB'!A:A,'jb IFRS'!J161,'kurzy ČNB'!B:B)</f>
        <v>24.885000000000002</v>
      </c>
      <c r="B161" s="125">
        <f t="shared" si="8"/>
        <v>278.12738597548724</v>
      </c>
      <c r="C161" s="126">
        <f t="shared" si="9"/>
        <v>287.58</v>
      </c>
      <c r="D161" s="407" t="s">
        <v>802</v>
      </c>
      <c r="E161" s="404" t="s">
        <v>855</v>
      </c>
      <c r="F161" s="406">
        <v>6921.2</v>
      </c>
      <c r="G161" s="406">
        <v>287.58</v>
      </c>
      <c r="H161" s="404" t="s">
        <v>15</v>
      </c>
      <c r="I161" s="404" t="s">
        <v>1125</v>
      </c>
      <c r="J161" s="336" t="s">
        <v>1736</v>
      </c>
      <c r="K161" s="405" t="s">
        <v>866</v>
      </c>
      <c r="L161" s="336" t="s">
        <v>1131</v>
      </c>
      <c r="M161" s="336" t="s">
        <v>1737</v>
      </c>
      <c r="N161" s="336" t="s">
        <v>1483</v>
      </c>
      <c r="O161" s="336" t="s">
        <v>802</v>
      </c>
      <c r="P161" s="336" t="s">
        <v>800</v>
      </c>
      <c r="Q161" s="408">
        <v>6921.2</v>
      </c>
      <c r="R161" s="408">
        <v>287.58</v>
      </c>
      <c r="S161" s="405" t="s">
        <v>15</v>
      </c>
      <c r="T161" s="405" t="s">
        <v>1738</v>
      </c>
      <c r="U161" s="336" t="s">
        <v>1726</v>
      </c>
      <c r="V161" s="403"/>
      <c r="W161" s="403"/>
      <c r="X161" s="403"/>
      <c r="Y161" s="403"/>
      <c r="Z161" s="403"/>
      <c r="AA161" s="408">
        <v>6921.2</v>
      </c>
      <c r="AB161" s="403"/>
    </row>
    <row r="162" spans="1:28" hidden="1" x14ac:dyDescent="0.3">
      <c r="A162" s="391">
        <f>SUMIF('kurzy ČNB'!A:A,'jb IFRS'!J162,'kurzy ČNB'!B:B)</f>
        <v>25.03</v>
      </c>
      <c r="B162" s="125">
        <f t="shared" si="8"/>
        <v>-276.51618058330001</v>
      </c>
      <c r="C162" s="126">
        <f t="shared" si="9"/>
        <v>-276.51618058330001</v>
      </c>
      <c r="D162" s="407" t="s">
        <v>802</v>
      </c>
      <c r="E162" s="404" t="s">
        <v>853</v>
      </c>
      <c r="F162" s="406">
        <v>-6921.2</v>
      </c>
      <c r="G162" s="406">
        <v>0</v>
      </c>
      <c r="H162" s="403"/>
      <c r="I162" s="404" t="s">
        <v>1125</v>
      </c>
      <c r="J162" s="336" t="s">
        <v>1739</v>
      </c>
      <c r="K162" s="405" t="s">
        <v>856</v>
      </c>
      <c r="L162" s="336" t="s">
        <v>1740</v>
      </c>
      <c r="M162" s="336" t="s">
        <v>1741</v>
      </c>
      <c r="N162" s="336" t="s">
        <v>1483</v>
      </c>
      <c r="O162" s="336" t="s">
        <v>826</v>
      </c>
      <c r="P162" s="336" t="s">
        <v>802</v>
      </c>
      <c r="Q162" s="408">
        <v>6921.2</v>
      </c>
      <c r="R162" s="408">
        <v>0</v>
      </c>
      <c r="S162" s="403"/>
      <c r="T162" s="403"/>
      <c r="U162" s="336" t="s">
        <v>1742</v>
      </c>
      <c r="V162" s="403"/>
      <c r="W162" s="403"/>
      <c r="X162" s="403"/>
      <c r="Y162" s="403"/>
      <c r="Z162" s="403"/>
      <c r="AA162" s="403"/>
      <c r="AB162" s="408">
        <v>6921.2</v>
      </c>
    </row>
    <row r="163" spans="1:28" hidden="1" x14ac:dyDescent="0.3">
      <c r="A163" s="391">
        <f>SUMIF('kurzy ČNB'!A:A,'jb IFRS'!J163,'kurzy ČNB'!B:B)</f>
        <v>25.03</v>
      </c>
      <c r="B163" s="125">
        <f t="shared" si="8"/>
        <v>276.51618058330001</v>
      </c>
      <c r="C163" s="126">
        <f t="shared" si="9"/>
        <v>276.51618058330001</v>
      </c>
      <c r="D163" s="407" t="s">
        <v>826</v>
      </c>
      <c r="E163" s="404" t="s">
        <v>855</v>
      </c>
      <c r="F163" s="406">
        <v>6921.2</v>
      </c>
      <c r="G163" s="406">
        <v>0</v>
      </c>
      <c r="H163" s="403"/>
      <c r="I163" s="404" t="s">
        <v>1125</v>
      </c>
      <c r="J163" s="336" t="s">
        <v>1739</v>
      </c>
      <c r="K163" s="405" t="s">
        <v>856</v>
      </c>
      <c r="L163" s="336" t="s">
        <v>1740</v>
      </c>
      <c r="M163" s="336" t="s">
        <v>1741</v>
      </c>
      <c r="N163" s="336" t="s">
        <v>1483</v>
      </c>
      <c r="O163" s="336" t="s">
        <v>826</v>
      </c>
      <c r="P163" s="336" t="s">
        <v>802</v>
      </c>
      <c r="Q163" s="408">
        <v>6921.2</v>
      </c>
      <c r="R163" s="408">
        <v>0</v>
      </c>
      <c r="S163" s="403"/>
      <c r="T163" s="403"/>
      <c r="U163" s="336" t="s">
        <v>1742</v>
      </c>
      <c r="V163" s="403"/>
      <c r="W163" s="403"/>
      <c r="X163" s="403"/>
      <c r="Y163" s="403"/>
      <c r="Z163" s="403"/>
      <c r="AA163" s="408">
        <v>6921.2</v>
      </c>
      <c r="AB163" s="403"/>
    </row>
    <row r="164" spans="1:28" hidden="1" x14ac:dyDescent="0.3">
      <c r="A164" s="391">
        <f>SUMIF('kurzy ČNB'!A:A,'jb IFRS'!J164,'kurzy ČNB'!B:B)</f>
        <v>25.03</v>
      </c>
      <c r="B164" s="125">
        <f t="shared" si="8"/>
        <v>-745.68877347183377</v>
      </c>
      <c r="C164" s="126">
        <f t="shared" si="9"/>
        <v>-755.04</v>
      </c>
      <c r="D164" s="407" t="s">
        <v>802</v>
      </c>
      <c r="E164" s="404" t="s">
        <v>853</v>
      </c>
      <c r="F164" s="406">
        <v>-18664.59</v>
      </c>
      <c r="G164" s="406">
        <v>-755.04</v>
      </c>
      <c r="H164" s="404" t="s">
        <v>15</v>
      </c>
      <c r="I164" s="404" t="s">
        <v>1125</v>
      </c>
      <c r="J164" s="336" t="s">
        <v>1739</v>
      </c>
      <c r="K164" s="405" t="s">
        <v>856</v>
      </c>
      <c r="L164" s="336" t="s">
        <v>1743</v>
      </c>
      <c r="M164" s="336" t="s">
        <v>1120</v>
      </c>
      <c r="N164" s="336" t="s">
        <v>1483</v>
      </c>
      <c r="O164" s="336" t="s">
        <v>826</v>
      </c>
      <c r="P164" s="336" t="s">
        <v>802</v>
      </c>
      <c r="Q164" s="408">
        <v>18664.59</v>
      </c>
      <c r="R164" s="408">
        <v>755.04</v>
      </c>
      <c r="S164" s="405" t="s">
        <v>15</v>
      </c>
      <c r="T164" s="405" t="s">
        <v>1744</v>
      </c>
      <c r="U164" s="336" t="s">
        <v>1745</v>
      </c>
      <c r="V164" s="403"/>
      <c r="W164" s="403"/>
      <c r="X164" s="403"/>
      <c r="Y164" s="403"/>
      <c r="Z164" s="403"/>
      <c r="AA164" s="403"/>
      <c r="AB164" s="408">
        <v>18664.59</v>
      </c>
    </row>
    <row r="165" spans="1:28" hidden="1" x14ac:dyDescent="0.3">
      <c r="A165" s="391">
        <f>SUMIF('kurzy ČNB'!A:A,'jb IFRS'!J165,'kurzy ČNB'!B:B)</f>
        <v>25.03</v>
      </c>
      <c r="B165" s="125">
        <f t="shared" si="8"/>
        <v>745.68877347183377</v>
      </c>
      <c r="C165" s="126">
        <f t="shared" si="9"/>
        <v>755.04</v>
      </c>
      <c r="D165" s="407" t="s">
        <v>826</v>
      </c>
      <c r="E165" s="404" t="s">
        <v>855</v>
      </c>
      <c r="F165" s="406">
        <v>18664.59</v>
      </c>
      <c r="G165" s="406">
        <v>755.04</v>
      </c>
      <c r="H165" s="404" t="s">
        <v>15</v>
      </c>
      <c r="I165" s="404" t="s">
        <v>1125</v>
      </c>
      <c r="J165" s="336" t="s">
        <v>1739</v>
      </c>
      <c r="K165" s="405" t="s">
        <v>856</v>
      </c>
      <c r="L165" s="336" t="s">
        <v>1743</v>
      </c>
      <c r="M165" s="336" t="s">
        <v>1120</v>
      </c>
      <c r="N165" s="336" t="s">
        <v>1483</v>
      </c>
      <c r="O165" s="336" t="s">
        <v>826</v>
      </c>
      <c r="P165" s="336" t="s">
        <v>802</v>
      </c>
      <c r="Q165" s="408">
        <v>18664.59</v>
      </c>
      <c r="R165" s="408">
        <v>755.04</v>
      </c>
      <c r="S165" s="405" t="s">
        <v>15</v>
      </c>
      <c r="T165" s="405" t="s">
        <v>1744</v>
      </c>
      <c r="U165" s="336" t="s">
        <v>1745</v>
      </c>
      <c r="V165" s="403"/>
      <c r="W165" s="403"/>
      <c r="X165" s="403"/>
      <c r="Y165" s="403"/>
      <c r="Z165" s="403"/>
      <c r="AA165" s="408">
        <v>18664.59</v>
      </c>
      <c r="AB165" s="403"/>
    </row>
    <row r="166" spans="1:28" hidden="1" x14ac:dyDescent="0.3">
      <c r="A166" s="391">
        <f>SUMIF('kurzy ČNB'!A:A,'jb IFRS'!J166,'kurzy ČNB'!B:B)</f>
        <v>25.03</v>
      </c>
      <c r="B166" s="125">
        <f t="shared" si="8"/>
        <v>-123207.91010787054</v>
      </c>
      <c r="C166" s="126">
        <f t="shared" si="9"/>
        <v>-123207.90999999999</v>
      </c>
      <c r="D166" s="407" t="s">
        <v>834</v>
      </c>
      <c r="E166" s="404" t="s">
        <v>853</v>
      </c>
      <c r="F166" s="406">
        <v>-3083893.9899999998</v>
      </c>
      <c r="G166" s="406">
        <v>-123207.90999999999</v>
      </c>
      <c r="H166" s="404" t="s">
        <v>15</v>
      </c>
      <c r="I166" s="404" t="s">
        <v>1125</v>
      </c>
      <c r="J166" s="336" t="s">
        <v>1739</v>
      </c>
      <c r="K166" s="405" t="s">
        <v>865</v>
      </c>
      <c r="L166" s="336" t="s">
        <v>1746</v>
      </c>
      <c r="M166" s="336" t="s">
        <v>1747</v>
      </c>
      <c r="N166" s="403"/>
      <c r="O166" s="336" t="s">
        <v>772</v>
      </c>
      <c r="P166" s="336" t="s">
        <v>834</v>
      </c>
      <c r="Q166" s="408">
        <v>3083893.9899999998</v>
      </c>
      <c r="R166" s="408">
        <v>123207.90999999999</v>
      </c>
      <c r="S166" s="405" t="s">
        <v>15</v>
      </c>
      <c r="T166" s="405" t="s">
        <v>1748</v>
      </c>
      <c r="U166" s="336" t="s">
        <v>1518</v>
      </c>
      <c r="V166" s="403"/>
      <c r="W166" s="403"/>
      <c r="X166" s="403"/>
      <c r="Y166" s="403"/>
      <c r="Z166" s="403"/>
      <c r="AA166" s="403"/>
      <c r="AB166" s="408">
        <v>3083893.9899999998</v>
      </c>
    </row>
    <row r="167" spans="1:28" hidden="1" x14ac:dyDescent="0.3">
      <c r="A167" s="391">
        <f>SUMIF('kurzy ČNB'!A:A,'jb IFRS'!J167,'kurzy ČNB'!B:B)</f>
        <v>25.03</v>
      </c>
      <c r="B167" s="125">
        <f t="shared" si="8"/>
        <v>123207.91010787054</v>
      </c>
      <c r="C167" s="126">
        <f t="shared" si="9"/>
        <v>123207.90999999999</v>
      </c>
      <c r="D167" s="407" t="s">
        <v>772</v>
      </c>
      <c r="E167" s="404" t="s">
        <v>855</v>
      </c>
      <c r="F167" s="406">
        <v>3083893.9899999998</v>
      </c>
      <c r="G167" s="406">
        <v>123207.90999999999</v>
      </c>
      <c r="H167" s="404" t="s">
        <v>15</v>
      </c>
      <c r="I167" s="404" t="s">
        <v>1125</v>
      </c>
      <c r="J167" s="336" t="s">
        <v>1739</v>
      </c>
      <c r="K167" s="405" t="s">
        <v>865</v>
      </c>
      <c r="L167" s="336" t="s">
        <v>1746</v>
      </c>
      <c r="M167" s="336" t="s">
        <v>1747</v>
      </c>
      <c r="N167" s="403"/>
      <c r="O167" s="336" t="s">
        <v>772</v>
      </c>
      <c r="P167" s="336" t="s">
        <v>834</v>
      </c>
      <c r="Q167" s="408">
        <v>3083893.9899999998</v>
      </c>
      <c r="R167" s="408">
        <v>123207.90999999999</v>
      </c>
      <c r="S167" s="405" t="s">
        <v>15</v>
      </c>
      <c r="T167" s="405" t="s">
        <v>1748</v>
      </c>
      <c r="U167" s="336" t="s">
        <v>1518</v>
      </c>
      <c r="V167" s="403"/>
      <c r="W167" s="403"/>
      <c r="X167" s="403"/>
      <c r="Y167" s="403"/>
      <c r="Z167" s="403"/>
      <c r="AA167" s="408">
        <v>3083893.9899999998</v>
      </c>
      <c r="AB167" s="403"/>
    </row>
    <row r="168" spans="1:28" hidden="1" x14ac:dyDescent="0.3">
      <c r="A168" s="391">
        <f>SUMIF('kurzy ČNB'!A:A,'jb IFRS'!J168,'kurzy ČNB'!B:B)</f>
        <v>25.03</v>
      </c>
      <c r="B168" s="125">
        <f t="shared" si="8"/>
        <v>-115643.98002397122</v>
      </c>
      <c r="C168" s="126">
        <f t="shared" si="9"/>
        <v>-115643.98</v>
      </c>
      <c r="D168" s="407" t="s">
        <v>818</v>
      </c>
      <c r="E168" s="404" t="s">
        <v>853</v>
      </c>
      <c r="F168" s="406">
        <v>-2894568.82</v>
      </c>
      <c r="G168" s="406">
        <v>-115643.98</v>
      </c>
      <c r="H168" s="404" t="s">
        <v>15</v>
      </c>
      <c r="I168" s="404" t="s">
        <v>1125</v>
      </c>
      <c r="J168" s="336" t="s">
        <v>1739</v>
      </c>
      <c r="K168" s="405" t="s">
        <v>865</v>
      </c>
      <c r="L168" s="336" t="s">
        <v>1749</v>
      </c>
      <c r="M168" s="336" t="s">
        <v>1750</v>
      </c>
      <c r="N168" s="403"/>
      <c r="O168" s="336" t="s">
        <v>828</v>
      </c>
      <c r="P168" s="336" t="s">
        <v>818</v>
      </c>
      <c r="Q168" s="408">
        <v>2894568.82</v>
      </c>
      <c r="R168" s="408">
        <v>115643.98</v>
      </c>
      <c r="S168" s="405" t="s">
        <v>15</v>
      </c>
      <c r="T168" s="405" t="s">
        <v>1748</v>
      </c>
      <c r="U168" s="336" t="s">
        <v>1517</v>
      </c>
      <c r="V168" s="403"/>
      <c r="W168" s="403"/>
      <c r="X168" s="403"/>
      <c r="Y168" s="403"/>
      <c r="Z168" s="403"/>
      <c r="AA168" s="403"/>
      <c r="AB168" s="408">
        <v>2894568.82</v>
      </c>
    </row>
    <row r="169" spans="1:28" hidden="1" x14ac:dyDescent="0.3">
      <c r="A169" s="391">
        <f>SUMIF('kurzy ČNB'!A:A,'jb IFRS'!J169,'kurzy ČNB'!B:B)</f>
        <v>25.03</v>
      </c>
      <c r="B169" s="125">
        <f t="shared" si="8"/>
        <v>115643.98002397122</v>
      </c>
      <c r="C169" s="126">
        <f t="shared" si="9"/>
        <v>115643.98</v>
      </c>
      <c r="D169" s="407" t="s">
        <v>828</v>
      </c>
      <c r="E169" s="404" t="s">
        <v>855</v>
      </c>
      <c r="F169" s="406">
        <v>2894568.82</v>
      </c>
      <c r="G169" s="406">
        <v>115643.98</v>
      </c>
      <c r="H169" s="404" t="s">
        <v>15</v>
      </c>
      <c r="I169" s="404" t="s">
        <v>1125</v>
      </c>
      <c r="J169" s="336" t="s">
        <v>1739</v>
      </c>
      <c r="K169" s="405" t="s">
        <v>865</v>
      </c>
      <c r="L169" s="336" t="s">
        <v>1749</v>
      </c>
      <c r="M169" s="336" t="s">
        <v>1750</v>
      </c>
      <c r="N169" s="403"/>
      <c r="O169" s="336" t="s">
        <v>828</v>
      </c>
      <c r="P169" s="336" t="s">
        <v>818</v>
      </c>
      <c r="Q169" s="408">
        <v>2894568.82</v>
      </c>
      <c r="R169" s="408">
        <v>115643.98</v>
      </c>
      <c r="S169" s="405" t="s">
        <v>15</v>
      </c>
      <c r="T169" s="405" t="s">
        <v>1748</v>
      </c>
      <c r="U169" s="336" t="s">
        <v>1517</v>
      </c>
      <c r="V169" s="403"/>
      <c r="W169" s="403"/>
      <c r="X169" s="403"/>
      <c r="Y169" s="403"/>
      <c r="Z169" s="403"/>
      <c r="AA169" s="408">
        <v>2894568.82</v>
      </c>
      <c r="AB169" s="403"/>
    </row>
    <row r="170" spans="1:28" hidden="1" x14ac:dyDescent="0.3">
      <c r="A170" s="391">
        <f>SUMIF('kurzy ČNB'!A:A,'jb IFRS'!J170,'kurzy ČNB'!B:B)</f>
        <v>25.03</v>
      </c>
      <c r="B170" s="125">
        <f t="shared" si="8"/>
        <v>13154.620055932879</v>
      </c>
      <c r="C170" s="126">
        <f t="shared" si="9"/>
        <v>13154.62</v>
      </c>
      <c r="D170" s="407" t="s">
        <v>810</v>
      </c>
      <c r="E170" s="404" t="s">
        <v>853</v>
      </c>
      <c r="F170" s="406">
        <v>329260.13999999996</v>
      </c>
      <c r="G170" s="406">
        <v>13154.62</v>
      </c>
      <c r="H170" s="404" t="s">
        <v>15</v>
      </c>
      <c r="I170" s="404" t="s">
        <v>1125</v>
      </c>
      <c r="J170" s="336" t="s">
        <v>1739</v>
      </c>
      <c r="K170" s="405" t="s">
        <v>865</v>
      </c>
      <c r="L170" s="336" t="s">
        <v>1788</v>
      </c>
      <c r="M170" s="336" t="s">
        <v>1789</v>
      </c>
      <c r="N170" s="403"/>
      <c r="O170" s="336" t="s">
        <v>1000</v>
      </c>
      <c r="P170" s="336" t="s">
        <v>810</v>
      </c>
      <c r="Q170" s="408">
        <v>-329260.13999999996</v>
      </c>
      <c r="R170" s="408">
        <v>-13154.62</v>
      </c>
      <c r="S170" s="405" t="s">
        <v>15</v>
      </c>
      <c r="T170" s="405" t="s">
        <v>1748</v>
      </c>
      <c r="U170" s="336" t="s">
        <v>1790</v>
      </c>
      <c r="V170" s="403"/>
      <c r="W170" s="403"/>
      <c r="X170" s="403"/>
      <c r="Y170" s="403"/>
      <c r="Z170" s="403"/>
      <c r="AA170" s="403"/>
      <c r="AB170" s="408">
        <v>-329260.13999999996</v>
      </c>
    </row>
    <row r="171" spans="1:28" hidden="1" x14ac:dyDescent="0.3">
      <c r="A171" s="391">
        <f>SUMIF('kurzy ČNB'!A:A,'jb IFRS'!J171,'kurzy ČNB'!B:B)</f>
        <v>25.03</v>
      </c>
      <c r="B171" s="125">
        <f t="shared" ref="B171:B173" si="10">F171/A171</f>
        <v>-13154.620055932879</v>
      </c>
      <c r="C171" s="126">
        <f t="shared" ref="C171:C223" si="11">IF(H171="EUR",G171,B171)</f>
        <v>-13154.62</v>
      </c>
      <c r="D171" s="407" t="s">
        <v>1000</v>
      </c>
      <c r="E171" s="404" t="s">
        <v>855</v>
      </c>
      <c r="F171" s="406">
        <v>-329260.13999999996</v>
      </c>
      <c r="G171" s="406">
        <v>-13154.62</v>
      </c>
      <c r="H171" s="404" t="s">
        <v>15</v>
      </c>
      <c r="I171" s="404" t="s">
        <v>1125</v>
      </c>
      <c r="J171" s="336" t="s">
        <v>1739</v>
      </c>
      <c r="K171" s="405" t="s">
        <v>865</v>
      </c>
      <c r="L171" s="336" t="s">
        <v>1788</v>
      </c>
      <c r="M171" s="336" t="s">
        <v>1789</v>
      </c>
      <c r="N171" s="403"/>
      <c r="O171" s="336" t="s">
        <v>1000</v>
      </c>
      <c r="P171" s="336" t="s">
        <v>810</v>
      </c>
      <c r="Q171" s="408">
        <v>-329260.13999999996</v>
      </c>
      <c r="R171" s="408">
        <v>-13154.62</v>
      </c>
      <c r="S171" s="405" t="s">
        <v>15</v>
      </c>
      <c r="T171" s="405" t="s">
        <v>1748</v>
      </c>
      <c r="U171" s="336" t="s">
        <v>1790</v>
      </c>
      <c r="V171" s="403"/>
      <c r="W171" s="403"/>
      <c r="X171" s="403"/>
      <c r="Y171" s="403"/>
      <c r="Z171" s="403"/>
      <c r="AA171" s="408">
        <v>-329260.13999999996</v>
      </c>
      <c r="AB171" s="403"/>
    </row>
    <row r="172" spans="1:28" hidden="1" x14ac:dyDescent="0.3">
      <c r="A172" s="391">
        <f>SUMIF('kurzy ČNB'!A:A,'jb IFRS'!J172,'kurzy ČNB'!B:B)</f>
        <v>25.03</v>
      </c>
      <c r="B172" s="125">
        <f t="shared" si="10"/>
        <v>-5971.1701957650812</v>
      </c>
      <c r="C172" s="126">
        <f t="shared" si="11"/>
        <v>-5971.17</v>
      </c>
      <c r="D172" s="407" t="s">
        <v>1001</v>
      </c>
      <c r="E172" s="404" t="s">
        <v>853</v>
      </c>
      <c r="F172" s="406">
        <v>-149458.38999999998</v>
      </c>
      <c r="G172" s="406">
        <v>-5971.17</v>
      </c>
      <c r="H172" s="404" t="s">
        <v>15</v>
      </c>
      <c r="I172" s="404" t="s">
        <v>1125</v>
      </c>
      <c r="J172" s="336" t="s">
        <v>1739</v>
      </c>
      <c r="K172" s="405" t="s">
        <v>865</v>
      </c>
      <c r="L172" s="336" t="s">
        <v>1791</v>
      </c>
      <c r="M172" s="336" t="s">
        <v>1792</v>
      </c>
      <c r="N172" s="403"/>
      <c r="O172" s="336" t="s">
        <v>1002</v>
      </c>
      <c r="P172" s="336" t="s">
        <v>1001</v>
      </c>
      <c r="Q172" s="408">
        <v>149458.38999999998</v>
      </c>
      <c r="R172" s="408">
        <v>5971.17</v>
      </c>
      <c r="S172" s="405" t="s">
        <v>15</v>
      </c>
      <c r="T172" s="405" t="s">
        <v>1748</v>
      </c>
      <c r="U172" s="336" t="s">
        <v>1793</v>
      </c>
      <c r="V172" s="403"/>
      <c r="W172" s="403"/>
      <c r="X172" s="403"/>
      <c r="Y172" s="403"/>
      <c r="Z172" s="403"/>
      <c r="AA172" s="403"/>
      <c r="AB172" s="408">
        <v>149458.38999999998</v>
      </c>
    </row>
    <row r="173" spans="1:28" hidden="1" x14ac:dyDescent="0.3">
      <c r="A173" s="391">
        <f>SUMIF('kurzy ČNB'!A:A,'jb IFRS'!J173,'kurzy ČNB'!B:B)</f>
        <v>25.03</v>
      </c>
      <c r="B173" s="125">
        <f t="shared" si="10"/>
        <v>5971.1701957650812</v>
      </c>
      <c r="C173" s="126">
        <f t="shared" si="11"/>
        <v>5971.17</v>
      </c>
      <c r="D173" s="407" t="s">
        <v>1002</v>
      </c>
      <c r="E173" s="404" t="s">
        <v>855</v>
      </c>
      <c r="F173" s="406">
        <v>149458.38999999998</v>
      </c>
      <c r="G173" s="406">
        <v>5971.17</v>
      </c>
      <c r="H173" s="404" t="s">
        <v>15</v>
      </c>
      <c r="I173" s="404" t="s">
        <v>1125</v>
      </c>
      <c r="J173" s="336" t="s">
        <v>1739</v>
      </c>
      <c r="K173" s="405" t="s">
        <v>865</v>
      </c>
      <c r="L173" s="336" t="s">
        <v>1791</v>
      </c>
      <c r="M173" s="336" t="s">
        <v>1792</v>
      </c>
      <c r="N173" s="403"/>
      <c r="O173" s="336" t="s">
        <v>1002</v>
      </c>
      <c r="P173" s="336" t="s">
        <v>1001</v>
      </c>
      <c r="Q173" s="408">
        <v>149458.38999999998</v>
      </c>
      <c r="R173" s="408">
        <v>5971.17</v>
      </c>
      <c r="S173" s="405" t="s">
        <v>15</v>
      </c>
      <c r="T173" s="405" t="s">
        <v>1748</v>
      </c>
      <c r="U173" s="336" t="s">
        <v>1793</v>
      </c>
      <c r="V173" s="403"/>
      <c r="W173" s="403"/>
      <c r="X173" s="403"/>
      <c r="Y173" s="403"/>
      <c r="Z173" s="403"/>
      <c r="AA173" s="408">
        <v>149458.38999999998</v>
      </c>
      <c r="AB173" s="403"/>
    </row>
    <row r="174" spans="1:28" hidden="1" x14ac:dyDescent="0.3">
      <c r="A174" s="391">
        <f>SUMIF('kurzy ČNB'!A:A,'jb IFRS'!J174,'kurzy ČNB'!B:B)</f>
        <v>25.03</v>
      </c>
      <c r="B174" s="125">
        <f t="shared" ref="B174:B175" si="12">F174/A174</f>
        <v>-220.13983220135839</v>
      </c>
      <c r="C174" s="126">
        <f t="shared" ref="C174:C175" si="13">IF(H174="EUR",G174,B174)</f>
        <v>-220.14</v>
      </c>
      <c r="D174" s="407" t="s">
        <v>1009</v>
      </c>
      <c r="E174" s="404" t="s">
        <v>853</v>
      </c>
      <c r="F174" s="406">
        <v>-5510.1</v>
      </c>
      <c r="G174" s="406">
        <v>-220.14</v>
      </c>
      <c r="H174" s="404" t="s">
        <v>15</v>
      </c>
      <c r="I174" s="404" t="s">
        <v>1125</v>
      </c>
      <c r="J174" s="336" t="s">
        <v>1739</v>
      </c>
      <c r="K174" s="405" t="s">
        <v>865</v>
      </c>
      <c r="L174" s="336" t="s">
        <v>1794</v>
      </c>
      <c r="M174" s="336" t="s">
        <v>1592</v>
      </c>
      <c r="N174" s="403"/>
      <c r="O174" s="336" t="s">
        <v>1010</v>
      </c>
      <c r="P174" s="336" t="s">
        <v>1009</v>
      </c>
      <c r="Q174" s="408">
        <v>5510.1</v>
      </c>
      <c r="R174" s="408">
        <v>220.14</v>
      </c>
      <c r="S174" s="405" t="s">
        <v>15</v>
      </c>
      <c r="T174" s="405" t="s">
        <v>1748</v>
      </c>
      <c r="U174" s="336" t="s">
        <v>1528</v>
      </c>
      <c r="V174" s="403"/>
      <c r="W174" s="403"/>
      <c r="X174" s="403"/>
      <c r="Y174" s="403"/>
      <c r="Z174" s="403"/>
      <c r="AA174" s="403"/>
      <c r="AB174" s="408">
        <v>5510.1</v>
      </c>
    </row>
    <row r="175" spans="1:28" hidden="1" x14ac:dyDescent="0.3">
      <c r="A175" s="391">
        <f>SUMIF('kurzy ČNB'!A:A,'jb IFRS'!J175,'kurzy ČNB'!B:B)</f>
        <v>25.03</v>
      </c>
      <c r="B175" s="125">
        <f t="shared" si="12"/>
        <v>220.13983220135839</v>
      </c>
      <c r="C175" s="126">
        <f t="shared" si="13"/>
        <v>220.14</v>
      </c>
      <c r="D175" s="407" t="s">
        <v>1010</v>
      </c>
      <c r="E175" s="404" t="s">
        <v>855</v>
      </c>
      <c r="F175" s="406">
        <v>5510.1</v>
      </c>
      <c r="G175" s="406">
        <v>220.14</v>
      </c>
      <c r="H175" s="404" t="s">
        <v>15</v>
      </c>
      <c r="I175" s="404" t="s">
        <v>1125</v>
      </c>
      <c r="J175" s="336" t="s">
        <v>1739</v>
      </c>
      <c r="K175" s="405" t="s">
        <v>865</v>
      </c>
      <c r="L175" s="336" t="s">
        <v>1794</v>
      </c>
      <c r="M175" s="336" t="s">
        <v>1592</v>
      </c>
      <c r="N175" s="403"/>
      <c r="O175" s="336" t="s">
        <v>1010</v>
      </c>
      <c r="P175" s="336" t="s">
        <v>1009</v>
      </c>
      <c r="Q175" s="408">
        <v>5510.1</v>
      </c>
      <c r="R175" s="408">
        <v>220.14</v>
      </c>
      <c r="S175" s="405" t="s">
        <v>15</v>
      </c>
      <c r="T175" s="405" t="s">
        <v>1748</v>
      </c>
      <c r="U175" s="336" t="s">
        <v>1528</v>
      </c>
      <c r="V175" s="403"/>
      <c r="W175" s="403"/>
      <c r="X175" s="403"/>
      <c r="Y175" s="403"/>
      <c r="Z175" s="403"/>
      <c r="AA175" s="408">
        <v>5510.1</v>
      </c>
      <c r="AB175" s="403"/>
    </row>
    <row r="176" spans="1:28" hidden="1" x14ac:dyDescent="0.3">
      <c r="A176" s="391">
        <f>SUMIF('kurzy ČNB'!A:A,'jb IFRS'!J176,'kurzy ČNB'!B:B)</f>
        <v>25.03</v>
      </c>
      <c r="B176" s="125">
        <f t="shared" ref="B176:B177" si="14">F176/A176</f>
        <v>-0.71993607670795046</v>
      </c>
      <c r="C176" s="126">
        <f t="shared" ref="C176:C177" si="15">IF(H176="EUR",G176,B176)</f>
        <v>-0.72000000000000008</v>
      </c>
      <c r="D176" s="407" t="s">
        <v>800</v>
      </c>
      <c r="E176" s="404" t="s">
        <v>853</v>
      </c>
      <c r="F176" s="406">
        <v>-18.02</v>
      </c>
      <c r="G176" s="406">
        <v>-0.72000000000000008</v>
      </c>
      <c r="H176" s="404" t="s">
        <v>15</v>
      </c>
      <c r="I176" s="404" t="s">
        <v>1125</v>
      </c>
      <c r="J176" s="336" t="s">
        <v>1739</v>
      </c>
      <c r="K176" s="405" t="s">
        <v>866</v>
      </c>
      <c r="L176" s="336" t="s">
        <v>1132</v>
      </c>
      <c r="M176" s="336" t="s">
        <v>869</v>
      </c>
      <c r="N176" s="403"/>
      <c r="O176" s="336" t="s">
        <v>832</v>
      </c>
      <c r="P176" s="336" t="s">
        <v>800</v>
      </c>
      <c r="Q176" s="408">
        <v>18.02</v>
      </c>
      <c r="R176" s="408">
        <v>0.72000000000000008</v>
      </c>
      <c r="S176" s="405" t="s">
        <v>15</v>
      </c>
      <c r="T176" s="405" t="s">
        <v>1748</v>
      </c>
      <c r="U176" s="403"/>
      <c r="V176" s="403"/>
      <c r="W176" s="403"/>
      <c r="X176" s="403"/>
      <c r="Y176" s="403"/>
      <c r="Z176" s="403"/>
      <c r="AA176" s="403"/>
      <c r="AB176" s="408">
        <v>18.02</v>
      </c>
    </row>
    <row r="177" spans="1:28" hidden="1" x14ac:dyDescent="0.3">
      <c r="A177" s="391">
        <f>SUMIF('kurzy ČNB'!A:A,'jb IFRS'!J177,'kurzy ČNB'!B:B)</f>
        <v>25.03</v>
      </c>
      <c r="B177" s="125">
        <f t="shared" si="14"/>
        <v>0.71993607670795046</v>
      </c>
      <c r="C177" s="126">
        <f t="shared" si="15"/>
        <v>0.72000000000000008</v>
      </c>
      <c r="D177" s="407" t="s">
        <v>832</v>
      </c>
      <c r="E177" s="404" t="s">
        <v>855</v>
      </c>
      <c r="F177" s="406">
        <v>18.02</v>
      </c>
      <c r="G177" s="406">
        <v>0.72000000000000008</v>
      </c>
      <c r="H177" s="404" t="s">
        <v>15</v>
      </c>
      <c r="I177" s="404" t="s">
        <v>1125</v>
      </c>
      <c r="J177" s="336" t="s">
        <v>1739</v>
      </c>
      <c r="K177" s="405" t="s">
        <v>866</v>
      </c>
      <c r="L177" s="336" t="s">
        <v>1132</v>
      </c>
      <c r="M177" s="336" t="s">
        <v>869</v>
      </c>
      <c r="N177" s="403"/>
      <c r="O177" s="336" t="s">
        <v>832</v>
      </c>
      <c r="P177" s="336" t="s">
        <v>800</v>
      </c>
      <c r="Q177" s="408">
        <v>18.02</v>
      </c>
      <c r="R177" s="408">
        <v>0.72000000000000008</v>
      </c>
      <c r="S177" s="405" t="s">
        <v>15</v>
      </c>
      <c r="T177" s="405" t="s">
        <v>1748</v>
      </c>
      <c r="U177" s="403"/>
      <c r="V177" s="403"/>
      <c r="W177" s="403"/>
      <c r="X177" s="403"/>
      <c r="Y177" s="403"/>
      <c r="Z177" s="403"/>
      <c r="AA177" s="408">
        <v>18.02</v>
      </c>
      <c r="AB177" s="403"/>
    </row>
    <row r="178" spans="1:28" hidden="1" x14ac:dyDescent="0.3">
      <c r="A178" s="391">
        <f>SUMIF('kurzy ČNB'!A:A,'jb IFRS'!J178,'kurzy ČNB'!B:B)</f>
        <v>25.03</v>
      </c>
      <c r="B178" s="125">
        <f t="shared" ref="B178:B183" si="16">F178/A178</f>
        <v>-1.2001598082301237</v>
      </c>
      <c r="C178" s="126">
        <f t="shared" si="11"/>
        <v>-1.2</v>
      </c>
      <c r="D178" s="407" t="s">
        <v>800</v>
      </c>
      <c r="E178" s="404" t="s">
        <v>853</v>
      </c>
      <c r="F178" s="406">
        <v>-30.04</v>
      </c>
      <c r="G178" s="406">
        <v>-1.2</v>
      </c>
      <c r="H178" s="404" t="s">
        <v>15</v>
      </c>
      <c r="I178" s="404" t="s">
        <v>1125</v>
      </c>
      <c r="J178" s="336" t="s">
        <v>1739</v>
      </c>
      <c r="K178" s="405" t="s">
        <v>866</v>
      </c>
      <c r="L178" s="336" t="s">
        <v>1133</v>
      </c>
      <c r="M178" s="336" t="s">
        <v>869</v>
      </c>
      <c r="N178" s="403"/>
      <c r="O178" s="336" t="s">
        <v>832</v>
      </c>
      <c r="P178" s="336" t="s">
        <v>800</v>
      </c>
      <c r="Q178" s="408">
        <v>30.04</v>
      </c>
      <c r="R178" s="408">
        <v>1.2</v>
      </c>
      <c r="S178" s="405" t="s">
        <v>15</v>
      </c>
      <c r="T178" s="405" t="s">
        <v>1748</v>
      </c>
      <c r="U178" s="403"/>
      <c r="V178" s="403"/>
      <c r="W178" s="403"/>
      <c r="X178" s="403"/>
      <c r="Y178" s="403"/>
      <c r="Z178" s="403"/>
      <c r="AA178" s="403"/>
      <c r="AB178" s="408">
        <v>30.04</v>
      </c>
    </row>
    <row r="179" spans="1:28" hidden="1" x14ac:dyDescent="0.3">
      <c r="A179" s="391">
        <f>SUMIF('kurzy ČNB'!A:A,'jb IFRS'!J179,'kurzy ČNB'!B:B)</f>
        <v>25.03</v>
      </c>
      <c r="B179" s="125">
        <f t="shared" si="16"/>
        <v>1.2001598082301237</v>
      </c>
      <c r="C179" s="126">
        <f t="shared" si="11"/>
        <v>1.2</v>
      </c>
      <c r="D179" s="407" t="s">
        <v>832</v>
      </c>
      <c r="E179" s="404" t="s">
        <v>855</v>
      </c>
      <c r="F179" s="406">
        <v>30.04</v>
      </c>
      <c r="G179" s="406">
        <v>1.2</v>
      </c>
      <c r="H179" s="404" t="s">
        <v>15</v>
      </c>
      <c r="I179" s="404" t="s">
        <v>1125</v>
      </c>
      <c r="J179" s="336" t="s">
        <v>1739</v>
      </c>
      <c r="K179" s="405" t="s">
        <v>866</v>
      </c>
      <c r="L179" s="336" t="s">
        <v>1133</v>
      </c>
      <c r="M179" s="336" t="s">
        <v>869</v>
      </c>
      <c r="N179" s="403"/>
      <c r="O179" s="336" t="s">
        <v>832</v>
      </c>
      <c r="P179" s="336" t="s">
        <v>800</v>
      </c>
      <c r="Q179" s="408">
        <v>30.04</v>
      </c>
      <c r="R179" s="408">
        <v>1.2</v>
      </c>
      <c r="S179" s="405" t="s">
        <v>15</v>
      </c>
      <c r="T179" s="405" t="s">
        <v>1748</v>
      </c>
      <c r="U179" s="403"/>
      <c r="V179" s="403"/>
      <c r="W179" s="403"/>
      <c r="X179" s="403"/>
      <c r="Y179" s="403"/>
      <c r="Z179" s="403"/>
      <c r="AA179" s="408">
        <v>30.04</v>
      </c>
      <c r="AB179" s="403"/>
    </row>
    <row r="180" spans="1:28" hidden="1" x14ac:dyDescent="0.3">
      <c r="A180" s="391">
        <f>SUMIF('kurzy ČNB'!A:A,'jb IFRS'!J180,'kurzy ČNB'!B:B)</f>
        <v>25.03</v>
      </c>
      <c r="B180" s="125">
        <f t="shared" si="16"/>
        <v>-7.7798641630043939</v>
      </c>
      <c r="C180" s="126">
        <f t="shared" si="11"/>
        <v>-7.78</v>
      </c>
      <c r="D180" s="407" t="s">
        <v>800</v>
      </c>
      <c r="E180" s="404" t="s">
        <v>853</v>
      </c>
      <c r="F180" s="406">
        <v>-194.73</v>
      </c>
      <c r="G180" s="406">
        <v>-7.78</v>
      </c>
      <c r="H180" s="404" t="s">
        <v>15</v>
      </c>
      <c r="I180" s="404" t="s">
        <v>1125</v>
      </c>
      <c r="J180" s="336" t="s">
        <v>1739</v>
      </c>
      <c r="K180" s="405" t="s">
        <v>866</v>
      </c>
      <c r="L180" s="336" t="s">
        <v>1135</v>
      </c>
      <c r="M180" s="336" t="s">
        <v>869</v>
      </c>
      <c r="N180" s="403"/>
      <c r="O180" s="336" t="s">
        <v>832</v>
      </c>
      <c r="P180" s="336" t="s">
        <v>800</v>
      </c>
      <c r="Q180" s="408">
        <v>194.73</v>
      </c>
      <c r="R180" s="408">
        <v>7.78</v>
      </c>
      <c r="S180" s="405" t="s">
        <v>15</v>
      </c>
      <c r="T180" s="405" t="s">
        <v>1748</v>
      </c>
      <c r="U180" s="403"/>
      <c r="V180" s="403"/>
      <c r="W180" s="403"/>
      <c r="X180" s="403"/>
      <c r="Y180" s="403"/>
      <c r="Z180" s="403"/>
      <c r="AA180" s="403"/>
      <c r="AB180" s="408">
        <v>194.73</v>
      </c>
    </row>
    <row r="181" spans="1:28" hidden="1" x14ac:dyDescent="0.3">
      <c r="A181" s="391">
        <f>SUMIF('kurzy ČNB'!A:A,'jb IFRS'!J181,'kurzy ČNB'!B:B)</f>
        <v>25.03</v>
      </c>
      <c r="B181" s="125">
        <f t="shared" si="16"/>
        <v>7.7798641630043939</v>
      </c>
      <c r="C181" s="126">
        <f t="shared" si="11"/>
        <v>7.78</v>
      </c>
      <c r="D181" s="407" t="s">
        <v>832</v>
      </c>
      <c r="E181" s="404" t="s">
        <v>855</v>
      </c>
      <c r="F181" s="406">
        <v>194.73</v>
      </c>
      <c r="G181" s="406">
        <v>7.78</v>
      </c>
      <c r="H181" s="404" t="s">
        <v>15</v>
      </c>
      <c r="I181" s="404" t="s">
        <v>1125</v>
      </c>
      <c r="J181" s="336" t="s">
        <v>1739</v>
      </c>
      <c r="K181" s="405" t="s">
        <v>866</v>
      </c>
      <c r="L181" s="336" t="s">
        <v>1135</v>
      </c>
      <c r="M181" s="336" t="s">
        <v>869</v>
      </c>
      <c r="N181" s="403"/>
      <c r="O181" s="336" t="s">
        <v>832</v>
      </c>
      <c r="P181" s="336" t="s">
        <v>800</v>
      </c>
      <c r="Q181" s="408">
        <v>194.73</v>
      </c>
      <c r="R181" s="408">
        <v>7.78</v>
      </c>
      <c r="S181" s="405" t="s">
        <v>15</v>
      </c>
      <c r="T181" s="405" t="s">
        <v>1748</v>
      </c>
      <c r="U181" s="403"/>
      <c r="V181" s="403"/>
      <c r="W181" s="403"/>
      <c r="X181" s="403"/>
      <c r="Y181" s="403"/>
      <c r="Z181" s="403"/>
      <c r="AA181" s="408">
        <v>194.73</v>
      </c>
      <c r="AB181" s="403"/>
    </row>
    <row r="182" spans="1:28" hidden="1" x14ac:dyDescent="0.3">
      <c r="A182" s="391">
        <f>SUMIF('kurzy ČNB'!A:A,'jb IFRS'!J182,'kurzy ČNB'!B:B)</f>
        <v>25.03</v>
      </c>
      <c r="B182" s="125">
        <f t="shared" si="16"/>
        <v>-12.769876148621654</v>
      </c>
      <c r="C182" s="126">
        <f t="shared" si="11"/>
        <v>-12.77</v>
      </c>
      <c r="D182" s="407" t="s">
        <v>800</v>
      </c>
      <c r="E182" s="404" t="s">
        <v>853</v>
      </c>
      <c r="F182" s="406">
        <v>-319.63</v>
      </c>
      <c r="G182" s="406">
        <v>-12.77</v>
      </c>
      <c r="H182" s="404" t="s">
        <v>15</v>
      </c>
      <c r="I182" s="404" t="s">
        <v>1125</v>
      </c>
      <c r="J182" s="336" t="s">
        <v>1739</v>
      </c>
      <c r="K182" s="405" t="s">
        <v>866</v>
      </c>
      <c r="L182" s="336" t="s">
        <v>1136</v>
      </c>
      <c r="M182" s="336" t="s">
        <v>869</v>
      </c>
      <c r="N182" s="403"/>
      <c r="O182" s="336" t="s">
        <v>832</v>
      </c>
      <c r="P182" s="336" t="s">
        <v>800</v>
      </c>
      <c r="Q182" s="408">
        <v>319.63</v>
      </c>
      <c r="R182" s="408">
        <v>12.77</v>
      </c>
      <c r="S182" s="405" t="s">
        <v>15</v>
      </c>
      <c r="T182" s="405" t="s">
        <v>1748</v>
      </c>
      <c r="U182" s="403"/>
      <c r="V182" s="403"/>
      <c r="W182" s="403"/>
      <c r="X182" s="403"/>
      <c r="Y182" s="403"/>
      <c r="Z182" s="403"/>
      <c r="AA182" s="403"/>
      <c r="AB182" s="408">
        <v>319.63</v>
      </c>
    </row>
    <row r="183" spans="1:28" hidden="1" x14ac:dyDescent="0.3">
      <c r="A183" s="391">
        <f>SUMIF('kurzy ČNB'!A:A,'jb IFRS'!J183,'kurzy ČNB'!B:B)</f>
        <v>25.03</v>
      </c>
      <c r="B183" s="125">
        <f t="shared" si="16"/>
        <v>12.769876148621654</v>
      </c>
      <c r="C183" s="126">
        <f t="shared" si="11"/>
        <v>12.77</v>
      </c>
      <c r="D183" s="407" t="s">
        <v>832</v>
      </c>
      <c r="E183" s="404" t="s">
        <v>855</v>
      </c>
      <c r="F183" s="406">
        <v>319.63</v>
      </c>
      <c r="G183" s="406">
        <v>12.77</v>
      </c>
      <c r="H183" s="404" t="s">
        <v>15</v>
      </c>
      <c r="I183" s="404" t="s">
        <v>1125</v>
      </c>
      <c r="J183" s="336" t="s">
        <v>1739</v>
      </c>
      <c r="K183" s="405" t="s">
        <v>866</v>
      </c>
      <c r="L183" s="336" t="s">
        <v>1136</v>
      </c>
      <c r="M183" s="336" t="s">
        <v>869</v>
      </c>
      <c r="N183" s="403"/>
      <c r="O183" s="336" t="s">
        <v>832</v>
      </c>
      <c r="P183" s="336" t="s">
        <v>800</v>
      </c>
      <c r="Q183" s="408">
        <v>319.63</v>
      </c>
      <c r="R183" s="408">
        <v>12.77</v>
      </c>
      <c r="S183" s="405" t="s">
        <v>15</v>
      </c>
      <c r="T183" s="405" t="s">
        <v>1748</v>
      </c>
      <c r="U183" s="403"/>
      <c r="V183" s="403"/>
      <c r="W183" s="403"/>
      <c r="X183" s="403"/>
      <c r="Y183" s="403"/>
      <c r="Z183" s="403"/>
      <c r="AA183" s="408">
        <v>319.63</v>
      </c>
      <c r="AB183" s="403"/>
    </row>
    <row r="184" spans="1:28" hidden="1" x14ac:dyDescent="0.3">
      <c r="A184" s="391" t="e">
        <f>SUMIF('[1]kurzy ČNB'!A:A,J184,'[1]kurzy ČNB'!B:B)</f>
        <v>#VALUE!</v>
      </c>
      <c r="B184" s="125" t="e">
        <f t="shared" ref="B184:B223" si="17">F184/A184</f>
        <v>#VALUE!</v>
      </c>
      <c r="C184" s="126" t="e">
        <f t="shared" si="11"/>
        <v>#VALUE!</v>
      </c>
    </row>
    <row r="185" spans="1:28" hidden="1" x14ac:dyDescent="0.3">
      <c r="A185" s="391" t="e">
        <f>SUMIF('[1]kurzy ČNB'!A:A,J185,'[1]kurzy ČNB'!B:B)</f>
        <v>#VALUE!</v>
      </c>
      <c r="B185" s="125" t="e">
        <f t="shared" si="17"/>
        <v>#VALUE!</v>
      </c>
      <c r="C185" s="126" t="e">
        <f t="shared" si="11"/>
        <v>#VALUE!</v>
      </c>
    </row>
    <row r="186" spans="1:28" hidden="1" x14ac:dyDescent="0.3">
      <c r="A186" s="391" t="e">
        <f>SUMIF('[1]kurzy ČNB'!A:A,J186,'[1]kurzy ČNB'!B:B)</f>
        <v>#VALUE!</v>
      </c>
      <c r="B186" s="125" t="e">
        <f t="shared" si="17"/>
        <v>#VALUE!</v>
      </c>
      <c r="C186" s="126" t="e">
        <f t="shared" si="11"/>
        <v>#VALUE!</v>
      </c>
    </row>
    <row r="187" spans="1:28" hidden="1" x14ac:dyDescent="0.3">
      <c r="A187" s="391" t="e">
        <f>SUMIF('[1]kurzy ČNB'!A:A,J187,'[1]kurzy ČNB'!B:B)</f>
        <v>#VALUE!</v>
      </c>
      <c r="B187" s="125" t="e">
        <f t="shared" si="17"/>
        <v>#VALUE!</v>
      </c>
      <c r="C187" s="126" t="e">
        <f t="shared" si="11"/>
        <v>#VALUE!</v>
      </c>
    </row>
    <row r="188" spans="1:28" hidden="1" x14ac:dyDescent="0.3">
      <c r="A188" s="391" t="e">
        <f>SUMIF('[1]kurzy ČNB'!A:A,J188,'[1]kurzy ČNB'!B:B)</f>
        <v>#VALUE!</v>
      </c>
      <c r="B188" s="125" t="e">
        <f t="shared" si="17"/>
        <v>#VALUE!</v>
      </c>
      <c r="C188" s="126" t="e">
        <f t="shared" si="11"/>
        <v>#VALUE!</v>
      </c>
    </row>
    <row r="189" spans="1:28" hidden="1" x14ac:dyDescent="0.3">
      <c r="A189" s="391" t="e">
        <f>SUMIF('[1]kurzy ČNB'!A:A,J189,'[1]kurzy ČNB'!B:B)</f>
        <v>#VALUE!</v>
      </c>
      <c r="B189" s="125" t="e">
        <f t="shared" si="17"/>
        <v>#VALUE!</v>
      </c>
      <c r="C189" s="126" t="e">
        <f t="shared" si="11"/>
        <v>#VALUE!</v>
      </c>
    </row>
    <row r="190" spans="1:28" hidden="1" x14ac:dyDescent="0.3">
      <c r="A190" s="391" t="e">
        <f>SUMIF('[1]kurzy ČNB'!A:A,J190,'[1]kurzy ČNB'!B:B)</f>
        <v>#VALUE!</v>
      </c>
      <c r="B190" s="125" t="e">
        <f t="shared" si="17"/>
        <v>#VALUE!</v>
      </c>
      <c r="C190" s="126" t="e">
        <f t="shared" si="11"/>
        <v>#VALUE!</v>
      </c>
    </row>
    <row r="191" spans="1:28" hidden="1" x14ac:dyDescent="0.3">
      <c r="A191" s="391" t="e">
        <f>SUMIF('[1]kurzy ČNB'!A:A,J191,'[1]kurzy ČNB'!B:B)</f>
        <v>#VALUE!</v>
      </c>
      <c r="B191" s="125" t="e">
        <f t="shared" si="17"/>
        <v>#VALUE!</v>
      </c>
      <c r="C191" s="126" t="e">
        <f t="shared" si="11"/>
        <v>#VALUE!</v>
      </c>
    </row>
    <row r="192" spans="1:28" hidden="1" x14ac:dyDescent="0.3">
      <c r="A192" s="391" t="e">
        <f>SUMIF('[1]kurzy ČNB'!A:A,J192,'[1]kurzy ČNB'!B:B)</f>
        <v>#VALUE!</v>
      </c>
      <c r="B192" s="125" t="e">
        <f t="shared" si="17"/>
        <v>#VALUE!</v>
      </c>
      <c r="C192" s="126" t="e">
        <f t="shared" si="11"/>
        <v>#VALUE!</v>
      </c>
    </row>
    <row r="193" spans="1:3" hidden="1" x14ac:dyDescent="0.3">
      <c r="A193" s="391" t="e">
        <f>SUMIF('[1]kurzy ČNB'!A:A,J193,'[1]kurzy ČNB'!B:B)</f>
        <v>#VALUE!</v>
      </c>
      <c r="B193" s="125" t="e">
        <f t="shared" si="17"/>
        <v>#VALUE!</v>
      </c>
      <c r="C193" s="126" t="e">
        <f t="shared" si="11"/>
        <v>#VALUE!</v>
      </c>
    </row>
    <row r="194" spans="1:3" hidden="1" x14ac:dyDescent="0.3">
      <c r="A194" s="391" t="e">
        <f>SUMIF('[1]kurzy ČNB'!A:A,J194,'[1]kurzy ČNB'!B:B)</f>
        <v>#VALUE!</v>
      </c>
      <c r="B194" s="125" t="e">
        <f t="shared" si="17"/>
        <v>#VALUE!</v>
      </c>
      <c r="C194" s="126" t="e">
        <f t="shared" si="11"/>
        <v>#VALUE!</v>
      </c>
    </row>
    <row r="195" spans="1:3" hidden="1" x14ac:dyDescent="0.3">
      <c r="A195" s="391" t="e">
        <f>SUMIF('[1]kurzy ČNB'!A:A,J195,'[1]kurzy ČNB'!B:B)</f>
        <v>#VALUE!</v>
      </c>
      <c r="B195" s="125" t="e">
        <f t="shared" si="17"/>
        <v>#VALUE!</v>
      </c>
      <c r="C195" s="126" t="e">
        <f t="shared" si="11"/>
        <v>#VALUE!</v>
      </c>
    </row>
    <row r="196" spans="1:3" hidden="1" x14ac:dyDescent="0.3">
      <c r="A196" s="391" t="e">
        <f>SUMIF('[1]kurzy ČNB'!A:A,J196,'[1]kurzy ČNB'!B:B)</f>
        <v>#VALUE!</v>
      </c>
      <c r="B196" s="125" t="e">
        <f t="shared" si="17"/>
        <v>#VALUE!</v>
      </c>
      <c r="C196" s="126" t="e">
        <f t="shared" si="11"/>
        <v>#VALUE!</v>
      </c>
    </row>
    <row r="197" spans="1:3" hidden="1" x14ac:dyDescent="0.3">
      <c r="A197" s="391" t="e">
        <f>SUMIF('[1]kurzy ČNB'!A:A,J197,'[1]kurzy ČNB'!B:B)</f>
        <v>#VALUE!</v>
      </c>
      <c r="B197" s="125" t="e">
        <f t="shared" si="17"/>
        <v>#VALUE!</v>
      </c>
      <c r="C197" s="126" t="e">
        <f t="shared" si="11"/>
        <v>#VALUE!</v>
      </c>
    </row>
    <row r="198" spans="1:3" hidden="1" x14ac:dyDescent="0.3">
      <c r="A198" s="391" t="e">
        <f>SUMIF('[1]kurzy ČNB'!A:A,J198,'[1]kurzy ČNB'!B:B)</f>
        <v>#VALUE!</v>
      </c>
      <c r="B198" s="125" t="e">
        <f t="shared" si="17"/>
        <v>#VALUE!</v>
      </c>
      <c r="C198" s="126" t="e">
        <f t="shared" si="11"/>
        <v>#VALUE!</v>
      </c>
    </row>
    <row r="199" spans="1:3" hidden="1" x14ac:dyDescent="0.3">
      <c r="A199" s="391" t="e">
        <f>SUMIF('[1]kurzy ČNB'!A:A,J199,'[1]kurzy ČNB'!B:B)</f>
        <v>#VALUE!</v>
      </c>
      <c r="B199" s="125" t="e">
        <f t="shared" si="17"/>
        <v>#VALUE!</v>
      </c>
      <c r="C199" s="126" t="e">
        <f t="shared" si="11"/>
        <v>#VALUE!</v>
      </c>
    </row>
    <row r="200" spans="1:3" hidden="1" x14ac:dyDescent="0.3">
      <c r="A200" s="391" t="e">
        <f>SUMIF('[1]kurzy ČNB'!A:A,J200,'[1]kurzy ČNB'!B:B)</f>
        <v>#VALUE!</v>
      </c>
      <c r="B200" s="125" t="e">
        <f t="shared" si="17"/>
        <v>#VALUE!</v>
      </c>
      <c r="C200" s="126" t="e">
        <f t="shared" si="11"/>
        <v>#VALUE!</v>
      </c>
    </row>
    <row r="201" spans="1:3" hidden="1" x14ac:dyDescent="0.3">
      <c r="A201" s="391" t="e">
        <f>SUMIF('[1]kurzy ČNB'!A:A,J201,'[1]kurzy ČNB'!B:B)</f>
        <v>#VALUE!</v>
      </c>
      <c r="B201" s="125" t="e">
        <f t="shared" si="17"/>
        <v>#VALUE!</v>
      </c>
      <c r="C201" s="126" t="e">
        <f t="shared" si="11"/>
        <v>#VALUE!</v>
      </c>
    </row>
    <row r="202" spans="1:3" hidden="1" x14ac:dyDescent="0.3">
      <c r="A202" s="391" t="e">
        <f>SUMIF('[1]kurzy ČNB'!A:A,J202,'[1]kurzy ČNB'!B:B)</f>
        <v>#VALUE!</v>
      </c>
      <c r="B202" s="125" t="e">
        <f t="shared" si="17"/>
        <v>#VALUE!</v>
      </c>
      <c r="C202" s="126" t="e">
        <f t="shared" si="11"/>
        <v>#VALUE!</v>
      </c>
    </row>
    <row r="203" spans="1:3" hidden="1" x14ac:dyDescent="0.3">
      <c r="A203" s="391" t="e">
        <f>SUMIF('[1]kurzy ČNB'!A:A,J203,'[1]kurzy ČNB'!B:B)</f>
        <v>#VALUE!</v>
      </c>
      <c r="B203" s="125" t="e">
        <f t="shared" si="17"/>
        <v>#VALUE!</v>
      </c>
      <c r="C203" s="126" t="e">
        <f t="shared" si="11"/>
        <v>#VALUE!</v>
      </c>
    </row>
    <row r="204" spans="1:3" hidden="1" x14ac:dyDescent="0.3">
      <c r="A204" s="391" t="e">
        <f>SUMIF('[1]kurzy ČNB'!A:A,J204,'[1]kurzy ČNB'!B:B)</f>
        <v>#VALUE!</v>
      </c>
      <c r="B204" s="125" t="e">
        <f t="shared" si="17"/>
        <v>#VALUE!</v>
      </c>
      <c r="C204" s="126" t="e">
        <f t="shared" si="11"/>
        <v>#VALUE!</v>
      </c>
    </row>
    <row r="205" spans="1:3" hidden="1" x14ac:dyDescent="0.3">
      <c r="A205" s="391" t="e">
        <f>SUMIF('[1]kurzy ČNB'!A:A,J205,'[1]kurzy ČNB'!B:B)</f>
        <v>#VALUE!</v>
      </c>
      <c r="B205" s="125" t="e">
        <f t="shared" si="17"/>
        <v>#VALUE!</v>
      </c>
      <c r="C205" s="126" t="e">
        <f t="shared" si="11"/>
        <v>#VALUE!</v>
      </c>
    </row>
    <row r="206" spans="1:3" hidden="1" x14ac:dyDescent="0.3">
      <c r="A206" s="391" t="e">
        <f>SUMIF('[1]kurzy ČNB'!A:A,J206,'[1]kurzy ČNB'!B:B)</f>
        <v>#VALUE!</v>
      </c>
      <c r="B206" s="125" t="e">
        <f t="shared" si="17"/>
        <v>#VALUE!</v>
      </c>
      <c r="C206" s="126" t="e">
        <f t="shared" si="11"/>
        <v>#VALUE!</v>
      </c>
    </row>
    <row r="207" spans="1:3" hidden="1" x14ac:dyDescent="0.3">
      <c r="A207" s="391" t="e">
        <f>SUMIF('[1]kurzy ČNB'!A:A,J207,'[1]kurzy ČNB'!B:B)</f>
        <v>#VALUE!</v>
      </c>
      <c r="B207" s="125" t="e">
        <f t="shared" si="17"/>
        <v>#VALUE!</v>
      </c>
      <c r="C207" s="126" t="e">
        <f t="shared" si="11"/>
        <v>#VALUE!</v>
      </c>
    </row>
    <row r="208" spans="1:3" hidden="1" x14ac:dyDescent="0.3">
      <c r="A208" s="391" t="e">
        <f>SUMIF('[1]kurzy ČNB'!A:A,J208,'[1]kurzy ČNB'!B:B)</f>
        <v>#VALUE!</v>
      </c>
      <c r="B208" s="125" t="e">
        <f t="shared" si="17"/>
        <v>#VALUE!</v>
      </c>
      <c r="C208" s="126" t="e">
        <f t="shared" si="11"/>
        <v>#VALUE!</v>
      </c>
    </row>
    <row r="209" spans="1:3" hidden="1" x14ac:dyDescent="0.3">
      <c r="A209" s="391" t="e">
        <f>SUMIF('[1]kurzy ČNB'!A:A,J209,'[1]kurzy ČNB'!B:B)</f>
        <v>#VALUE!</v>
      </c>
      <c r="B209" s="125" t="e">
        <f t="shared" si="17"/>
        <v>#VALUE!</v>
      </c>
      <c r="C209" s="126" t="e">
        <f t="shared" si="11"/>
        <v>#VALUE!</v>
      </c>
    </row>
    <row r="210" spans="1:3" hidden="1" x14ac:dyDescent="0.3">
      <c r="A210" s="391" t="e">
        <f>SUMIF('[1]kurzy ČNB'!A:A,J210,'[1]kurzy ČNB'!B:B)</f>
        <v>#VALUE!</v>
      </c>
      <c r="B210" s="125" t="e">
        <f t="shared" si="17"/>
        <v>#VALUE!</v>
      </c>
      <c r="C210" s="126" t="e">
        <f t="shared" si="11"/>
        <v>#VALUE!</v>
      </c>
    </row>
    <row r="211" spans="1:3" hidden="1" x14ac:dyDescent="0.3">
      <c r="A211" s="391" t="e">
        <f>SUMIF('[1]kurzy ČNB'!A:A,J211,'[1]kurzy ČNB'!B:B)</f>
        <v>#VALUE!</v>
      </c>
      <c r="B211" s="125" t="e">
        <f t="shared" si="17"/>
        <v>#VALUE!</v>
      </c>
      <c r="C211" s="126" t="e">
        <f t="shared" si="11"/>
        <v>#VALUE!</v>
      </c>
    </row>
    <row r="212" spans="1:3" hidden="1" x14ac:dyDescent="0.3">
      <c r="A212" s="391" t="e">
        <f>SUMIF('[1]kurzy ČNB'!A:A,J212,'[1]kurzy ČNB'!B:B)</f>
        <v>#VALUE!</v>
      </c>
      <c r="B212" s="125" t="e">
        <f t="shared" si="17"/>
        <v>#VALUE!</v>
      </c>
      <c r="C212" s="126" t="e">
        <f t="shared" si="11"/>
        <v>#VALUE!</v>
      </c>
    </row>
    <row r="213" spans="1:3" hidden="1" x14ac:dyDescent="0.3">
      <c r="A213" s="391" t="e">
        <f>SUMIF('[1]kurzy ČNB'!A:A,J213,'[1]kurzy ČNB'!B:B)</f>
        <v>#VALUE!</v>
      </c>
      <c r="B213" s="125" t="e">
        <f t="shared" si="17"/>
        <v>#VALUE!</v>
      </c>
      <c r="C213" s="126" t="e">
        <f t="shared" si="11"/>
        <v>#VALUE!</v>
      </c>
    </row>
    <row r="214" spans="1:3" hidden="1" x14ac:dyDescent="0.3">
      <c r="A214" s="391" t="e">
        <f>SUMIF('[1]kurzy ČNB'!A:A,J214,'[1]kurzy ČNB'!B:B)</f>
        <v>#VALUE!</v>
      </c>
      <c r="B214" s="125" t="e">
        <f t="shared" si="17"/>
        <v>#VALUE!</v>
      </c>
      <c r="C214" s="126" t="e">
        <f t="shared" si="11"/>
        <v>#VALUE!</v>
      </c>
    </row>
    <row r="215" spans="1:3" hidden="1" x14ac:dyDescent="0.3">
      <c r="A215" s="391" t="e">
        <f>SUMIF('[1]kurzy ČNB'!A:A,J215,'[1]kurzy ČNB'!B:B)</f>
        <v>#VALUE!</v>
      </c>
      <c r="B215" s="125" t="e">
        <f t="shared" si="17"/>
        <v>#VALUE!</v>
      </c>
      <c r="C215" s="126" t="e">
        <f t="shared" si="11"/>
        <v>#VALUE!</v>
      </c>
    </row>
    <row r="216" spans="1:3" hidden="1" x14ac:dyDescent="0.3">
      <c r="A216" s="391" t="e">
        <f>SUMIF('[1]kurzy ČNB'!A:A,J216,'[1]kurzy ČNB'!B:B)</f>
        <v>#VALUE!</v>
      </c>
      <c r="B216" s="125" t="e">
        <f t="shared" si="17"/>
        <v>#VALUE!</v>
      </c>
      <c r="C216" s="126" t="e">
        <f t="shared" si="11"/>
        <v>#VALUE!</v>
      </c>
    </row>
    <row r="217" spans="1:3" hidden="1" x14ac:dyDescent="0.3">
      <c r="A217" s="391" t="e">
        <f>SUMIF('[1]kurzy ČNB'!A:A,J217,'[1]kurzy ČNB'!B:B)</f>
        <v>#VALUE!</v>
      </c>
      <c r="B217" s="125" t="e">
        <f t="shared" si="17"/>
        <v>#VALUE!</v>
      </c>
      <c r="C217" s="126" t="e">
        <f t="shared" si="11"/>
        <v>#VALUE!</v>
      </c>
    </row>
    <row r="218" spans="1:3" hidden="1" x14ac:dyDescent="0.3">
      <c r="A218" s="391" t="e">
        <f>SUMIF('[1]kurzy ČNB'!A:A,J218,'[1]kurzy ČNB'!B:B)</f>
        <v>#VALUE!</v>
      </c>
      <c r="B218" s="125" t="e">
        <f t="shared" si="17"/>
        <v>#VALUE!</v>
      </c>
      <c r="C218" s="126" t="e">
        <f t="shared" si="11"/>
        <v>#VALUE!</v>
      </c>
    </row>
    <row r="219" spans="1:3" hidden="1" x14ac:dyDescent="0.3">
      <c r="A219" s="391" t="e">
        <f>SUMIF('[1]kurzy ČNB'!A:A,J219,'[1]kurzy ČNB'!B:B)</f>
        <v>#VALUE!</v>
      </c>
      <c r="B219" s="125" t="e">
        <f t="shared" si="17"/>
        <v>#VALUE!</v>
      </c>
      <c r="C219" s="126" t="e">
        <f t="shared" si="11"/>
        <v>#VALUE!</v>
      </c>
    </row>
    <row r="220" spans="1:3" hidden="1" x14ac:dyDescent="0.3">
      <c r="A220" s="391" t="e">
        <f>SUMIF('[1]kurzy ČNB'!A:A,J220,'[1]kurzy ČNB'!B:B)</f>
        <v>#VALUE!</v>
      </c>
      <c r="B220" s="125" t="e">
        <f t="shared" si="17"/>
        <v>#VALUE!</v>
      </c>
      <c r="C220" s="126" t="e">
        <f t="shared" si="11"/>
        <v>#VALUE!</v>
      </c>
    </row>
    <row r="221" spans="1:3" hidden="1" x14ac:dyDescent="0.3">
      <c r="A221" s="391" t="e">
        <f>SUMIF('[1]kurzy ČNB'!A:A,J221,'[1]kurzy ČNB'!B:B)</f>
        <v>#VALUE!</v>
      </c>
      <c r="B221" s="125" t="e">
        <f t="shared" si="17"/>
        <v>#VALUE!</v>
      </c>
      <c r="C221" s="126" t="e">
        <f t="shared" si="11"/>
        <v>#VALUE!</v>
      </c>
    </row>
    <row r="222" spans="1:3" hidden="1" x14ac:dyDescent="0.3">
      <c r="A222" s="391" t="e">
        <f>SUMIF('[1]kurzy ČNB'!A:A,J222,'[1]kurzy ČNB'!B:B)</f>
        <v>#VALUE!</v>
      </c>
      <c r="B222" s="125" t="e">
        <f t="shared" si="17"/>
        <v>#VALUE!</v>
      </c>
      <c r="C222" s="126" t="e">
        <f t="shared" si="11"/>
        <v>#VALUE!</v>
      </c>
    </row>
    <row r="223" spans="1:3" hidden="1" x14ac:dyDescent="0.3">
      <c r="A223" s="391" t="e">
        <f>SUMIF('[1]kurzy ČNB'!A:A,J223,'[1]kurzy ČNB'!B:B)</f>
        <v>#VALUE!</v>
      </c>
      <c r="B223" s="125" t="e">
        <f t="shared" si="17"/>
        <v>#VALUE!</v>
      </c>
      <c r="C223" s="126" t="e">
        <f t="shared" si="11"/>
        <v>#VALUE!</v>
      </c>
    </row>
    <row r="224" spans="1:3" hidden="1" x14ac:dyDescent="0.3">
      <c r="A224" s="391" t="e">
        <f>SUMIF('[1]kurzy ČNB'!A:A,J224,'[1]kurzy ČNB'!B:B)</f>
        <v>#VALUE!</v>
      </c>
      <c r="B224" s="125" t="e">
        <f t="shared" ref="B224:B287" si="18">F224/A224</f>
        <v>#VALUE!</v>
      </c>
      <c r="C224" s="126" t="e">
        <f t="shared" ref="C224:C287" si="19">IF(H224="EUR",G224,B224)</f>
        <v>#VALUE!</v>
      </c>
    </row>
    <row r="225" spans="1:3" hidden="1" x14ac:dyDescent="0.3">
      <c r="A225" s="391" t="e">
        <f>SUMIF('[1]kurzy ČNB'!A:A,J225,'[1]kurzy ČNB'!B:B)</f>
        <v>#VALUE!</v>
      </c>
      <c r="B225" s="125" t="e">
        <f t="shared" si="18"/>
        <v>#VALUE!</v>
      </c>
      <c r="C225" s="126" t="e">
        <f t="shared" si="19"/>
        <v>#VALUE!</v>
      </c>
    </row>
    <row r="226" spans="1:3" hidden="1" x14ac:dyDescent="0.3">
      <c r="A226" s="391" t="e">
        <f>SUMIF('[1]kurzy ČNB'!A:A,J226,'[1]kurzy ČNB'!B:B)</f>
        <v>#VALUE!</v>
      </c>
      <c r="B226" s="125" t="e">
        <f t="shared" si="18"/>
        <v>#VALUE!</v>
      </c>
      <c r="C226" s="126" t="e">
        <f t="shared" si="19"/>
        <v>#VALUE!</v>
      </c>
    </row>
    <row r="227" spans="1:3" hidden="1" x14ac:dyDescent="0.3">
      <c r="A227" s="391" t="e">
        <f>SUMIF('[1]kurzy ČNB'!A:A,J227,'[1]kurzy ČNB'!B:B)</f>
        <v>#VALUE!</v>
      </c>
      <c r="B227" s="125" t="e">
        <f t="shared" si="18"/>
        <v>#VALUE!</v>
      </c>
      <c r="C227" s="126" t="e">
        <f t="shared" si="19"/>
        <v>#VALUE!</v>
      </c>
    </row>
    <row r="228" spans="1:3" hidden="1" x14ac:dyDescent="0.3">
      <c r="A228" s="391" t="e">
        <f>SUMIF('[1]kurzy ČNB'!A:A,J228,'[1]kurzy ČNB'!B:B)</f>
        <v>#VALUE!</v>
      </c>
      <c r="B228" s="125" t="e">
        <f t="shared" si="18"/>
        <v>#VALUE!</v>
      </c>
      <c r="C228" s="126" t="e">
        <f t="shared" si="19"/>
        <v>#VALUE!</v>
      </c>
    </row>
    <row r="229" spans="1:3" hidden="1" x14ac:dyDescent="0.3">
      <c r="A229" s="391" t="e">
        <f>SUMIF('[1]kurzy ČNB'!A:A,J229,'[1]kurzy ČNB'!B:B)</f>
        <v>#VALUE!</v>
      </c>
      <c r="B229" s="125" t="e">
        <f t="shared" si="18"/>
        <v>#VALUE!</v>
      </c>
      <c r="C229" s="126" t="e">
        <f t="shared" si="19"/>
        <v>#VALUE!</v>
      </c>
    </row>
    <row r="230" spans="1:3" hidden="1" x14ac:dyDescent="0.3">
      <c r="A230" s="391" t="e">
        <f>SUMIF('[1]kurzy ČNB'!A:A,J230,'[1]kurzy ČNB'!B:B)</f>
        <v>#VALUE!</v>
      </c>
      <c r="B230" s="125" t="e">
        <f t="shared" si="18"/>
        <v>#VALUE!</v>
      </c>
      <c r="C230" s="126" t="e">
        <f t="shared" si="19"/>
        <v>#VALUE!</v>
      </c>
    </row>
    <row r="231" spans="1:3" hidden="1" x14ac:dyDescent="0.3">
      <c r="A231" s="391" t="e">
        <f>SUMIF('[1]kurzy ČNB'!A:A,J231,'[1]kurzy ČNB'!B:B)</f>
        <v>#VALUE!</v>
      </c>
      <c r="B231" s="125" t="e">
        <f t="shared" si="18"/>
        <v>#VALUE!</v>
      </c>
      <c r="C231" s="126" t="e">
        <f t="shared" si="19"/>
        <v>#VALUE!</v>
      </c>
    </row>
    <row r="232" spans="1:3" hidden="1" x14ac:dyDescent="0.3">
      <c r="A232" s="391" t="e">
        <f>SUMIF('[1]kurzy ČNB'!A:A,J232,'[1]kurzy ČNB'!B:B)</f>
        <v>#VALUE!</v>
      </c>
      <c r="B232" s="125" t="e">
        <f t="shared" si="18"/>
        <v>#VALUE!</v>
      </c>
      <c r="C232" s="126" t="e">
        <f t="shared" si="19"/>
        <v>#VALUE!</v>
      </c>
    </row>
    <row r="233" spans="1:3" hidden="1" x14ac:dyDescent="0.3">
      <c r="A233" s="391" t="e">
        <f>SUMIF('[1]kurzy ČNB'!A:A,J233,'[1]kurzy ČNB'!B:B)</f>
        <v>#VALUE!</v>
      </c>
      <c r="B233" s="125" t="e">
        <f t="shared" si="18"/>
        <v>#VALUE!</v>
      </c>
      <c r="C233" s="126" t="e">
        <f t="shared" si="19"/>
        <v>#VALUE!</v>
      </c>
    </row>
    <row r="234" spans="1:3" hidden="1" x14ac:dyDescent="0.3">
      <c r="A234" s="391" t="e">
        <f>SUMIF('[1]kurzy ČNB'!A:A,J234,'[1]kurzy ČNB'!B:B)</f>
        <v>#VALUE!</v>
      </c>
      <c r="B234" s="125" t="e">
        <f t="shared" si="18"/>
        <v>#VALUE!</v>
      </c>
      <c r="C234" s="126" t="e">
        <f t="shared" si="19"/>
        <v>#VALUE!</v>
      </c>
    </row>
    <row r="235" spans="1:3" hidden="1" x14ac:dyDescent="0.3">
      <c r="A235" s="391" t="e">
        <f>SUMIF('[1]kurzy ČNB'!A:A,J235,'[1]kurzy ČNB'!B:B)</f>
        <v>#VALUE!</v>
      </c>
      <c r="B235" s="125" t="e">
        <f t="shared" si="18"/>
        <v>#VALUE!</v>
      </c>
      <c r="C235" s="126" t="e">
        <f t="shared" si="19"/>
        <v>#VALUE!</v>
      </c>
    </row>
    <row r="236" spans="1:3" hidden="1" x14ac:dyDescent="0.3">
      <c r="A236" s="391" t="e">
        <f>SUMIF('[1]kurzy ČNB'!A:A,J236,'[1]kurzy ČNB'!B:B)</f>
        <v>#VALUE!</v>
      </c>
      <c r="B236" s="125" t="e">
        <f t="shared" si="18"/>
        <v>#VALUE!</v>
      </c>
      <c r="C236" s="126" t="e">
        <f t="shared" si="19"/>
        <v>#VALUE!</v>
      </c>
    </row>
    <row r="237" spans="1:3" hidden="1" x14ac:dyDescent="0.3">
      <c r="A237" s="391" t="e">
        <f>SUMIF('[1]kurzy ČNB'!A:A,J237,'[1]kurzy ČNB'!B:B)</f>
        <v>#VALUE!</v>
      </c>
      <c r="B237" s="125" t="e">
        <f t="shared" si="18"/>
        <v>#VALUE!</v>
      </c>
      <c r="C237" s="126" t="e">
        <f t="shared" si="19"/>
        <v>#VALUE!</v>
      </c>
    </row>
    <row r="238" spans="1:3" hidden="1" x14ac:dyDescent="0.3">
      <c r="A238" s="391" t="e">
        <f>SUMIF('[1]kurzy ČNB'!A:A,J238,'[1]kurzy ČNB'!B:B)</f>
        <v>#VALUE!</v>
      </c>
      <c r="B238" s="125" t="e">
        <f t="shared" si="18"/>
        <v>#VALUE!</v>
      </c>
      <c r="C238" s="126" t="e">
        <f t="shared" si="19"/>
        <v>#VALUE!</v>
      </c>
    </row>
    <row r="239" spans="1:3" hidden="1" x14ac:dyDescent="0.3">
      <c r="A239" s="391" t="e">
        <f>SUMIF('[1]kurzy ČNB'!A:A,J239,'[1]kurzy ČNB'!B:B)</f>
        <v>#VALUE!</v>
      </c>
      <c r="B239" s="125" t="e">
        <f t="shared" si="18"/>
        <v>#VALUE!</v>
      </c>
      <c r="C239" s="126" t="e">
        <f t="shared" si="19"/>
        <v>#VALUE!</v>
      </c>
    </row>
    <row r="240" spans="1:3" hidden="1" x14ac:dyDescent="0.3">
      <c r="A240" s="391" t="e">
        <f>SUMIF('[1]kurzy ČNB'!A:A,J240,'[1]kurzy ČNB'!B:B)</f>
        <v>#VALUE!</v>
      </c>
      <c r="B240" s="125" t="e">
        <f t="shared" si="18"/>
        <v>#VALUE!</v>
      </c>
      <c r="C240" s="126" t="e">
        <f t="shared" si="19"/>
        <v>#VALUE!</v>
      </c>
    </row>
    <row r="241" spans="1:3" hidden="1" x14ac:dyDescent="0.3">
      <c r="A241" s="391" t="e">
        <f>SUMIF('[1]kurzy ČNB'!A:A,J241,'[1]kurzy ČNB'!B:B)</f>
        <v>#VALUE!</v>
      </c>
      <c r="B241" s="125" t="e">
        <f t="shared" si="18"/>
        <v>#VALUE!</v>
      </c>
      <c r="C241" s="126" t="e">
        <f t="shared" si="19"/>
        <v>#VALUE!</v>
      </c>
    </row>
    <row r="242" spans="1:3" hidden="1" x14ac:dyDescent="0.3">
      <c r="A242" s="391" t="e">
        <f>SUMIF('[1]kurzy ČNB'!A:A,J242,'[1]kurzy ČNB'!B:B)</f>
        <v>#VALUE!</v>
      </c>
      <c r="B242" s="125" t="e">
        <f t="shared" si="18"/>
        <v>#VALUE!</v>
      </c>
      <c r="C242" s="126" t="e">
        <f t="shared" si="19"/>
        <v>#VALUE!</v>
      </c>
    </row>
    <row r="243" spans="1:3" hidden="1" x14ac:dyDescent="0.3">
      <c r="A243" s="391" t="e">
        <f>SUMIF('[1]kurzy ČNB'!A:A,J243,'[1]kurzy ČNB'!B:B)</f>
        <v>#VALUE!</v>
      </c>
      <c r="B243" s="125" t="e">
        <f t="shared" si="18"/>
        <v>#VALUE!</v>
      </c>
      <c r="C243" s="126" t="e">
        <f t="shared" si="19"/>
        <v>#VALUE!</v>
      </c>
    </row>
    <row r="244" spans="1:3" hidden="1" x14ac:dyDescent="0.3">
      <c r="A244" s="391" t="e">
        <f>SUMIF('[1]kurzy ČNB'!A:A,J244,'[1]kurzy ČNB'!B:B)</f>
        <v>#VALUE!</v>
      </c>
      <c r="B244" s="125" t="e">
        <f t="shared" si="18"/>
        <v>#VALUE!</v>
      </c>
      <c r="C244" s="126" t="e">
        <f t="shared" si="19"/>
        <v>#VALUE!</v>
      </c>
    </row>
    <row r="245" spans="1:3" hidden="1" x14ac:dyDescent="0.3">
      <c r="A245" s="391" t="e">
        <f>SUMIF('[1]kurzy ČNB'!A:A,J245,'[1]kurzy ČNB'!B:B)</f>
        <v>#VALUE!</v>
      </c>
      <c r="B245" s="125" t="e">
        <f t="shared" si="18"/>
        <v>#VALUE!</v>
      </c>
      <c r="C245" s="126" t="e">
        <f t="shared" si="19"/>
        <v>#VALUE!</v>
      </c>
    </row>
    <row r="246" spans="1:3" hidden="1" x14ac:dyDescent="0.3">
      <c r="A246" s="391" t="e">
        <f>SUMIF('[1]kurzy ČNB'!A:A,J246,'[1]kurzy ČNB'!B:B)</f>
        <v>#VALUE!</v>
      </c>
      <c r="B246" s="125" t="e">
        <f t="shared" si="18"/>
        <v>#VALUE!</v>
      </c>
      <c r="C246" s="126" t="e">
        <f t="shared" si="19"/>
        <v>#VALUE!</v>
      </c>
    </row>
    <row r="247" spans="1:3" hidden="1" x14ac:dyDescent="0.3">
      <c r="A247" s="391" t="e">
        <f>SUMIF('[1]kurzy ČNB'!A:A,J247,'[1]kurzy ČNB'!B:B)</f>
        <v>#VALUE!</v>
      </c>
      <c r="B247" s="125" t="e">
        <f t="shared" si="18"/>
        <v>#VALUE!</v>
      </c>
      <c r="C247" s="126" t="e">
        <f t="shared" si="19"/>
        <v>#VALUE!</v>
      </c>
    </row>
    <row r="248" spans="1:3" hidden="1" x14ac:dyDescent="0.3">
      <c r="A248" s="391" t="e">
        <f>SUMIF('[1]kurzy ČNB'!A:A,J248,'[1]kurzy ČNB'!B:B)</f>
        <v>#VALUE!</v>
      </c>
      <c r="B248" s="125" t="e">
        <f t="shared" si="18"/>
        <v>#VALUE!</v>
      </c>
      <c r="C248" s="126" t="e">
        <f t="shared" si="19"/>
        <v>#VALUE!</v>
      </c>
    </row>
    <row r="249" spans="1:3" hidden="1" x14ac:dyDescent="0.3">
      <c r="A249" s="391" t="e">
        <f>SUMIF('[1]kurzy ČNB'!A:A,J249,'[1]kurzy ČNB'!B:B)</f>
        <v>#VALUE!</v>
      </c>
      <c r="B249" s="125" t="e">
        <f t="shared" si="18"/>
        <v>#VALUE!</v>
      </c>
      <c r="C249" s="126" t="e">
        <f t="shared" si="19"/>
        <v>#VALUE!</v>
      </c>
    </row>
    <row r="250" spans="1:3" hidden="1" x14ac:dyDescent="0.3">
      <c r="A250" s="391" t="e">
        <f>SUMIF('[1]kurzy ČNB'!A:A,J250,'[1]kurzy ČNB'!B:B)</f>
        <v>#VALUE!</v>
      </c>
      <c r="B250" s="125" t="e">
        <f t="shared" si="18"/>
        <v>#VALUE!</v>
      </c>
      <c r="C250" s="126" t="e">
        <f t="shared" si="19"/>
        <v>#VALUE!</v>
      </c>
    </row>
    <row r="251" spans="1:3" hidden="1" x14ac:dyDescent="0.3">
      <c r="A251" s="391" t="e">
        <f>SUMIF('[1]kurzy ČNB'!A:A,J251,'[1]kurzy ČNB'!B:B)</f>
        <v>#VALUE!</v>
      </c>
      <c r="B251" s="125" t="e">
        <f t="shared" si="18"/>
        <v>#VALUE!</v>
      </c>
      <c r="C251" s="126" t="e">
        <f t="shared" si="19"/>
        <v>#VALUE!</v>
      </c>
    </row>
    <row r="252" spans="1:3" hidden="1" x14ac:dyDescent="0.3">
      <c r="A252" s="391" t="e">
        <f>SUMIF('[1]kurzy ČNB'!A:A,J252,'[1]kurzy ČNB'!B:B)</f>
        <v>#VALUE!</v>
      </c>
      <c r="B252" s="125" t="e">
        <f t="shared" si="18"/>
        <v>#VALUE!</v>
      </c>
      <c r="C252" s="126" t="e">
        <f t="shared" si="19"/>
        <v>#VALUE!</v>
      </c>
    </row>
    <row r="253" spans="1:3" hidden="1" x14ac:dyDescent="0.3">
      <c r="A253" s="391" t="e">
        <f>SUMIF('[1]kurzy ČNB'!A:A,J253,'[1]kurzy ČNB'!B:B)</f>
        <v>#VALUE!</v>
      </c>
      <c r="B253" s="125" t="e">
        <f t="shared" si="18"/>
        <v>#VALUE!</v>
      </c>
      <c r="C253" s="126" t="e">
        <f t="shared" si="19"/>
        <v>#VALUE!</v>
      </c>
    </row>
    <row r="254" spans="1:3" hidden="1" x14ac:dyDescent="0.3">
      <c r="A254" s="391" t="e">
        <f>SUMIF('[1]kurzy ČNB'!A:A,J254,'[1]kurzy ČNB'!B:B)</f>
        <v>#VALUE!</v>
      </c>
      <c r="B254" s="125" t="e">
        <f t="shared" si="18"/>
        <v>#VALUE!</v>
      </c>
      <c r="C254" s="126" t="e">
        <f t="shared" si="19"/>
        <v>#VALUE!</v>
      </c>
    </row>
    <row r="255" spans="1:3" hidden="1" x14ac:dyDescent="0.3">
      <c r="A255" s="391" t="e">
        <f>SUMIF('[1]kurzy ČNB'!A:A,J255,'[1]kurzy ČNB'!B:B)</f>
        <v>#VALUE!</v>
      </c>
      <c r="B255" s="125" t="e">
        <f t="shared" si="18"/>
        <v>#VALUE!</v>
      </c>
      <c r="C255" s="126" t="e">
        <f t="shared" si="19"/>
        <v>#VALUE!</v>
      </c>
    </row>
    <row r="256" spans="1:3" hidden="1" x14ac:dyDescent="0.3">
      <c r="A256" s="391" t="e">
        <f>SUMIF('[1]kurzy ČNB'!A:A,J256,'[1]kurzy ČNB'!B:B)</f>
        <v>#VALUE!</v>
      </c>
      <c r="B256" s="125" t="e">
        <f t="shared" si="18"/>
        <v>#VALUE!</v>
      </c>
      <c r="C256" s="126" t="e">
        <f t="shared" si="19"/>
        <v>#VALUE!</v>
      </c>
    </row>
    <row r="257" spans="1:3" hidden="1" x14ac:dyDescent="0.3">
      <c r="A257" s="391" t="e">
        <f>SUMIF('[1]kurzy ČNB'!A:A,J257,'[1]kurzy ČNB'!B:B)</f>
        <v>#VALUE!</v>
      </c>
      <c r="B257" s="125" t="e">
        <f t="shared" si="18"/>
        <v>#VALUE!</v>
      </c>
      <c r="C257" s="126" t="e">
        <f t="shared" si="19"/>
        <v>#VALUE!</v>
      </c>
    </row>
    <row r="258" spans="1:3" hidden="1" x14ac:dyDescent="0.3">
      <c r="A258" s="391" t="e">
        <f>SUMIF('[1]kurzy ČNB'!A:A,J258,'[1]kurzy ČNB'!B:B)</f>
        <v>#VALUE!</v>
      </c>
      <c r="B258" s="125" t="e">
        <f t="shared" si="18"/>
        <v>#VALUE!</v>
      </c>
      <c r="C258" s="126" t="e">
        <f t="shared" si="19"/>
        <v>#VALUE!</v>
      </c>
    </row>
    <row r="259" spans="1:3" hidden="1" x14ac:dyDescent="0.3">
      <c r="A259" s="391" t="e">
        <f>SUMIF('[1]kurzy ČNB'!A:A,J259,'[1]kurzy ČNB'!B:B)</f>
        <v>#VALUE!</v>
      </c>
      <c r="B259" s="125" t="e">
        <f t="shared" si="18"/>
        <v>#VALUE!</v>
      </c>
      <c r="C259" s="126" t="e">
        <f t="shared" si="19"/>
        <v>#VALUE!</v>
      </c>
    </row>
    <row r="260" spans="1:3" hidden="1" x14ac:dyDescent="0.3">
      <c r="A260" s="391" t="e">
        <f>SUMIF('[1]kurzy ČNB'!A:A,J260,'[1]kurzy ČNB'!B:B)</f>
        <v>#VALUE!</v>
      </c>
      <c r="B260" s="125" t="e">
        <f t="shared" si="18"/>
        <v>#VALUE!</v>
      </c>
      <c r="C260" s="126" t="e">
        <f t="shared" si="19"/>
        <v>#VALUE!</v>
      </c>
    </row>
    <row r="261" spans="1:3" hidden="1" x14ac:dyDescent="0.3">
      <c r="A261" s="391" t="e">
        <f>SUMIF('[1]kurzy ČNB'!A:A,J261,'[1]kurzy ČNB'!B:B)</f>
        <v>#VALUE!</v>
      </c>
      <c r="B261" s="125" t="e">
        <f t="shared" si="18"/>
        <v>#VALUE!</v>
      </c>
      <c r="C261" s="126" t="e">
        <f t="shared" si="19"/>
        <v>#VALUE!</v>
      </c>
    </row>
    <row r="262" spans="1:3" hidden="1" x14ac:dyDescent="0.3">
      <c r="A262" s="391" t="e">
        <f>SUMIF('[1]kurzy ČNB'!A:A,J262,'[1]kurzy ČNB'!B:B)</f>
        <v>#VALUE!</v>
      </c>
      <c r="B262" s="125" t="e">
        <f t="shared" si="18"/>
        <v>#VALUE!</v>
      </c>
      <c r="C262" s="126" t="e">
        <f t="shared" si="19"/>
        <v>#VALUE!</v>
      </c>
    </row>
    <row r="263" spans="1:3" hidden="1" x14ac:dyDescent="0.3">
      <c r="A263" s="391" t="e">
        <f>SUMIF('[1]kurzy ČNB'!A:A,J263,'[1]kurzy ČNB'!B:B)</f>
        <v>#VALUE!</v>
      </c>
      <c r="B263" s="125" t="e">
        <f t="shared" si="18"/>
        <v>#VALUE!</v>
      </c>
      <c r="C263" s="126" t="e">
        <f t="shared" si="19"/>
        <v>#VALUE!</v>
      </c>
    </row>
    <row r="264" spans="1:3" hidden="1" x14ac:dyDescent="0.3">
      <c r="A264" s="391" t="e">
        <f>SUMIF('[1]kurzy ČNB'!A:A,J264,'[1]kurzy ČNB'!B:B)</f>
        <v>#VALUE!</v>
      </c>
      <c r="B264" s="125" t="e">
        <f t="shared" si="18"/>
        <v>#VALUE!</v>
      </c>
      <c r="C264" s="126" t="e">
        <f t="shared" si="19"/>
        <v>#VALUE!</v>
      </c>
    </row>
    <row r="265" spans="1:3" hidden="1" x14ac:dyDescent="0.3">
      <c r="A265" s="391" t="e">
        <f>SUMIF('[1]kurzy ČNB'!A:A,J265,'[1]kurzy ČNB'!B:B)</f>
        <v>#VALUE!</v>
      </c>
      <c r="B265" s="125" t="e">
        <f t="shared" si="18"/>
        <v>#VALUE!</v>
      </c>
      <c r="C265" s="126" t="e">
        <f t="shared" si="19"/>
        <v>#VALUE!</v>
      </c>
    </row>
    <row r="266" spans="1:3" hidden="1" x14ac:dyDescent="0.3">
      <c r="A266" s="391" t="e">
        <f>SUMIF('[1]kurzy ČNB'!A:A,J266,'[1]kurzy ČNB'!B:B)</f>
        <v>#VALUE!</v>
      </c>
      <c r="B266" s="125" t="e">
        <f t="shared" si="18"/>
        <v>#VALUE!</v>
      </c>
      <c r="C266" s="126" t="e">
        <f t="shared" si="19"/>
        <v>#VALUE!</v>
      </c>
    </row>
    <row r="267" spans="1:3" hidden="1" x14ac:dyDescent="0.3">
      <c r="A267" s="391" t="e">
        <f>SUMIF('[1]kurzy ČNB'!A:A,J267,'[1]kurzy ČNB'!B:B)</f>
        <v>#VALUE!</v>
      </c>
      <c r="B267" s="125" t="e">
        <f t="shared" si="18"/>
        <v>#VALUE!</v>
      </c>
      <c r="C267" s="126" t="e">
        <f t="shared" si="19"/>
        <v>#VALUE!</v>
      </c>
    </row>
    <row r="268" spans="1:3" hidden="1" x14ac:dyDescent="0.3">
      <c r="A268" s="391" t="e">
        <f>SUMIF('[1]kurzy ČNB'!A:A,J268,'[1]kurzy ČNB'!B:B)</f>
        <v>#VALUE!</v>
      </c>
      <c r="B268" s="125" t="e">
        <f t="shared" si="18"/>
        <v>#VALUE!</v>
      </c>
      <c r="C268" s="126" t="e">
        <f t="shared" si="19"/>
        <v>#VALUE!</v>
      </c>
    </row>
    <row r="269" spans="1:3" hidden="1" x14ac:dyDescent="0.3">
      <c r="A269" s="391" t="e">
        <f>SUMIF('[1]kurzy ČNB'!A:A,J269,'[1]kurzy ČNB'!B:B)</f>
        <v>#VALUE!</v>
      </c>
      <c r="B269" s="125" t="e">
        <f t="shared" si="18"/>
        <v>#VALUE!</v>
      </c>
      <c r="C269" s="126" t="e">
        <f t="shared" si="19"/>
        <v>#VALUE!</v>
      </c>
    </row>
    <row r="270" spans="1:3" hidden="1" x14ac:dyDescent="0.3">
      <c r="A270" s="391" t="e">
        <f>SUMIF('[1]kurzy ČNB'!A:A,J270,'[1]kurzy ČNB'!B:B)</f>
        <v>#VALUE!</v>
      </c>
      <c r="B270" s="125" t="e">
        <f t="shared" si="18"/>
        <v>#VALUE!</v>
      </c>
      <c r="C270" s="126" t="e">
        <f t="shared" si="19"/>
        <v>#VALUE!</v>
      </c>
    </row>
    <row r="271" spans="1:3" hidden="1" x14ac:dyDescent="0.3">
      <c r="A271" s="391" t="e">
        <f>SUMIF('[1]kurzy ČNB'!A:A,J271,'[1]kurzy ČNB'!B:B)</f>
        <v>#VALUE!</v>
      </c>
      <c r="B271" s="125" t="e">
        <f t="shared" si="18"/>
        <v>#VALUE!</v>
      </c>
      <c r="C271" s="126" t="e">
        <f t="shared" si="19"/>
        <v>#VALUE!</v>
      </c>
    </row>
    <row r="272" spans="1:3" hidden="1" x14ac:dyDescent="0.3">
      <c r="A272" s="391" t="e">
        <f>SUMIF('[1]kurzy ČNB'!A:A,J272,'[1]kurzy ČNB'!B:B)</f>
        <v>#VALUE!</v>
      </c>
      <c r="B272" s="125" t="e">
        <f t="shared" si="18"/>
        <v>#VALUE!</v>
      </c>
      <c r="C272" s="126" t="e">
        <f t="shared" si="19"/>
        <v>#VALUE!</v>
      </c>
    </row>
    <row r="273" spans="1:3" hidden="1" x14ac:dyDescent="0.3">
      <c r="A273" s="391" t="e">
        <f>SUMIF('[1]kurzy ČNB'!A:A,J273,'[1]kurzy ČNB'!B:B)</f>
        <v>#VALUE!</v>
      </c>
      <c r="B273" s="125" t="e">
        <f t="shared" si="18"/>
        <v>#VALUE!</v>
      </c>
      <c r="C273" s="126" t="e">
        <f t="shared" si="19"/>
        <v>#VALUE!</v>
      </c>
    </row>
    <row r="274" spans="1:3" hidden="1" x14ac:dyDescent="0.3">
      <c r="A274" s="391" t="e">
        <f>SUMIF('[1]kurzy ČNB'!A:A,J274,'[1]kurzy ČNB'!B:B)</f>
        <v>#VALUE!</v>
      </c>
      <c r="B274" s="125" t="e">
        <f t="shared" si="18"/>
        <v>#VALUE!</v>
      </c>
      <c r="C274" s="126" t="e">
        <f t="shared" si="19"/>
        <v>#VALUE!</v>
      </c>
    </row>
    <row r="275" spans="1:3" hidden="1" x14ac:dyDescent="0.3">
      <c r="A275" s="391" t="e">
        <f>SUMIF('[1]kurzy ČNB'!A:A,J275,'[1]kurzy ČNB'!B:B)</f>
        <v>#VALUE!</v>
      </c>
      <c r="B275" s="125" t="e">
        <f t="shared" si="18"/>
        <v>#VALUE!</v>
      </c>
      <c r="C275" s="126" t="e">
        <f t="shared" si="19"/>
        <v>#VALUE!</v>
      </c>
    </row>
    <row r="276" spans="1:3" hidden="1" x14ac:dyDescent="0.3">
      <c r="A276" s="391" t="e">
        <f>SUMIF('[1]kurzy ČNB'!A:A,J276,'[1]kurzy ČNB'!B:B)</f>
        <v>#VALUE!</v>
      </c>
      <c r="B276" s="125" t="e">
        <f t="shared" si="18"/>
        <v>#VALUE!</v>
      </c>
      <c r="C276" s="126" t="e">
        <f t="shared" si="19"/>
        <v>#VALUE!</v>
      </c>
    </row>
    <row r="277" spans="1:3" hidden="1" x14ac:dyDescent="0.3">
      <c r="A277" s="391" t="e">
        <f>SUMIF('[1]kurzy ČNB'!A:A,J277,'[1]kurzy ČNB'!B:B)</f>
        <v>#VALUE!</v>
      </c>
      <c r="B277" s="125" t="e">
        <f t="shared" si="18"/>
        <v>#VALUE!</v>
      </c>
      <c r="C277" s="126" t="e">
        <f t="shared" si="19"/>
        <v>#VALUE!</v>
      </c>
    </row>
    <row r="278" spans="1:3" hidden="1" x14ac:dyDescent="0.3">
      <c r="A278" s="391" t="e">
        <f>SUMIF('[1]kurzy ČNB'!A:A,J278,'[1]kurzy ČNB'!B:B)</f>
        <v>#VALUE!</v>
      </c>
      <c r="B278" s="125" t="e">
        <f t="shared" si="18"/>
        <v>#VALUE!</v>
      </c>
      <c r="C278" s="126" t="e">
        <f t="shared" si="19"/>
        <v>#VALUE!</v>
      </c>
    </row>
    <row r="279" spans="1:3" hidden="1" x14ac:dyDescent="0.3">
      <c r="A279" s="391" t="e">
        <f>SUMIF('[1]kurzy ČNB'!A:A,J279,'[1]kurzy ČNB'!B:B)</f>
        <v>#VALUE!</v>
      </c>
      <c r="B279" s="125" t="e">
        <f t="shared" si="18"/>
        <v>#VALUE!</v>
      </c>
      <c r="C279" s="126" t="e">
        <f t="shared" si="19"/>
        <v>#VALUE!</v>
      </c>
    </row>
    <row r="280" spans="1:3" hidden="1" x14ac:dyDescent="0.3">
      <c r="A280" s="391" t="e">
        <f>SUMIF('[1]kurzy ČNB'!A:A,J280,'[1]kurzy ČNB'!B:B)</f>
        <v>#VALUE!</v>
      </c>
      <c r="B280" s="125" t="e">
        <f t="shared" si="18"/>
        <v>#VALUE!</v>
      </c>
      <c r="C280" s="126" t="e">
        <f t="shared" si="19"/>
        <v>#VALUE!</v>
      </c>
    </row>
    <row r="281" spans="1:3" hidden="1" x14ac:dyDescent="0.3">
      <c r="A281" s="391" t="e">
        <f>SUMIF('[1]kurzy ČNB'!A:A,J281,'[1]kurzy ČNB'!B:B)</f>
        <v>#VALUE!</v>
      </c>
      <c r="B281" s="125" t="e">
        <f t="shared" si="18"/>
        <v>#VALUE!</v>
      </c>
      <c r="C281" s="126" t="e">
        <f t="shared" si="19"/>
        <v>#VALUE!</v>
      </c>
    </row>
    <row r="282" spans="1:3" hidden="1" x14ac:dyDescent="0.3">
      <c r="A282" s="391" t="e">
        <f>SUMIF('[1]kurzy ČNB'!A:A,J282,'[1]kurzy ČNB'!B:B)</f>
        <v>#VALUE!</v>
      </c>
      <c r="B282" s="125" t="e">
        <f t="shared" si="18"/>
        <v>#VALUE!</v>
      </c>
      <c r="C282" s="126" t="e">
        <f t="shared" si="19"/>
        <v>#VALUE!</v>
      </c>
    </row>
    <row r="283" spans="1:3" hidden="1" x14ac:dyDescent="0.3">
      <c r="A283" s="391" t="e">
        <f>SUMIF('[1]kurzy ČNB'!A:A,J283,'[1]kurzy ČNB'!B:B)</f>
        <v>#VALUE!</v>
      </c>
      <c r="B283" s="125" t="e">
        <f t="shared" si="18"/>
        <v>#VALUE!</v>
      </c>
      <c r="C283" s="126" t="e">
        <f t="shared" si="19"/>
        <v>#VALUE!</v>
      </c>
    </row>
    <row r="284" spans="1:3" hidden="1" x14ac:dyDescent="0.3">
      <c r="A284" s="391" t="e">
        <f>SUMIF('[1]kurzy ČNB'!A:A,J284,'[1]kurzy ČNB'!B:B)</f>
        <v>#VALUE!</v>
      </c>
      <c r="B284" s="125" t="e">
        <f t="shared" si="18"/>
        <v>#VALUE!</v>
      </c>
      <c r="C284" s="126" t="e">
        <f t="shared" si="19"/>
        <v>#VALUE!</v>
      </c>
    </row>
    <row r="285" spans="1:3" hidden="1" x14ac:dyDescent="0.3">
      <c r="A285" s="391" t="e">
        <f>SUMIF('[1]kurzy ČNB'!A:A,J285,'[1]kurzy ČNB'!B:B)</f>
        <v>#VALUE!</v>
      </c>
      <c r="B285" s="125" t="e">
        <f t="shared" si="18"/>
        <v>#VALUE!</v>
      </c>
      <c r="C285" s="126" t="e">
        <f t="shared" si="19"/>
        <v>#VALUE!</v>
      </c>
    </row>
    <row r="286" spans="1:3" hidden="1" x14ac:dyDescent="0.3">
      <c r="A286" s="391" t="e">
        <f>SUMIF('[1]kurzy ČNB'!A:A,J286,'[1]kurzy ČNB'!B:B)</f>
        <v>#VALUE!</v>
      </c>
      <c r="B286" s="125" t="e">
        <f t="shared" si="18"/>
        <v>#VALUE!</v>
      </c>
      <c r="C286" s="126" t="e">
        <f t="shared" si="19"/>
        <v>#VALUE!</v>
      </c>
    </row>
    <row r="287" spans="1:3" hidden="1" x14ac:dyDescent="0.3">
      <c r="A287" s="391" t="e">
        <f>SUMIF('[1]kurzy ČNB'!A:A,J287,'[1]kurzy ČNB'!B:B)</f>
        <v>#VALUE!</v>
      </c>
      <c r="B287" s="125" t="e">
        <f t="shared" si="18"/>
        <v>#VALUE!</v>
      </c>
      <c r="C287" s="126" t="e">
        <f t="shared" si="19"/>
        <v>#VALUE!</v>
      </c>
    </row>
    <row r="288" spans="1:3" hidden="1" x14ac:dyDescent="0.3">
      <c r="A288" s="391" t="e">
        <f>SUMIF('[1]kurzy ČNB'!A:A,J288,'[1]kurzy ČNB'!B:B)</f>
        <v>#VALUE!</v>
      </c>
      <c r="B288" s="125" t="e">
        <f t="shared" ref="B288:B333" si="20">F288/A288</f>
        <v>#VALUE!</v>
      </c>
      <c r="C288" s="126" t="e">
        <f t="shared" ref="C288:C333" si="21">IF(H288="EUR",G288,B288)</f>
        <v>#VALUE!</v>
      </c>
    </row>
    <row r="289" spans="1:3" hidden="1" x14ac:dyDescent="0.3">
      <c r="A289" s="391" t="e">
        <f>SUMIF('[1]kurzy ČNB'!A:A,J289,'[1]kurzy ČNB'!B:B)</f>
        <v>#VALUE!</v>
      </c>
      <c r="B289" s="125" t="e">
        <f t="shared" si="20"/>
        <v>#VALUE!</v>
      </c>
      <c r="C289" s="126" t="e">
        <f t="shared" si="21"/>
        <v>#VALUE!</v>
      </c>
    </row>
    <row r="290" spans="1:3" hidden="1" x14ac:dyDescent="0.3">
      <c r="A290" s="391" t="e">
        <f>SUMIF('[1]kurzy ČNB'!A:A,J290,'[1]kurzy ČNB'!B:B)</f>
        <v>#VALUE!</v>
      </c>
      <c r="B290" s="125" t="e">
        <f t="shared" si="20"/>
        <v>#VALUE!</v>
      </c>
      <c r="C290" s="126" t="e">
        <f t="shared" si="21"/>
        <v>#VALUE!</v>
      </c>
    </row>
    <row r="291" spans="1:3" hidden="1" x14ac:dyDescent="0.3">
      <c r="A291" s="391" t="e">
        <f>SUMIF('[1]kurzy ČNB'!A:A,J291,'[1]kurzy ČNB'!B:B)</f>
        <v>#VALUE!</v>
      </c>
      <c r="B291" s="125" t="e">
        <f t="shared" si="20"/>
        <v>#VALUE!</v>
      </c>
      <c r="C291" s="126" t="e">
        <f t="shared" si="21"/>
        <v>#VALUE!</v>
      </c>
    </row>
    <row r="292" spans="1:3" hidden="1" x14ac:dyDescent="0.3">
      <c r="A292" s="391" t="e">
        <f>SUMIF('[1]kurzy ČNB'!A:A,J292,'[1]kurzy ČNB'!B:B)</f>
        <v>#VALUE!</v>
      </c>
      <c r="B292" s="125" t="e">
        <f t="shared" si="20"/>
        <v>#VALUE!</v>
      </c>
      <c r="C292" s="126" t="e">
        <f t="shared" si="21"/>
        <v>#VALUE!</v>
      </c>
    </row>
    <row r="293" spans="1:3" hidden="1" x14ac:dyDescent="0.3">
      <c r="A293" s="391" t="e">
        <f>SUMIF('[1]kurzy ČNB'!A:A,J293,'[1]kurzy ČNB'!B:B)</f>
        <v>#VALUE!</v>
      </c>
      <c r="B293" s="125" t="e">
        <f t="shared" si="20"/>
        <v>#VALUE!</v>
      </c>
      <c r="C293" s="126" t="e">
        <f t="shared" si="21"/>
        <v>#VALUE!</v>
      </c>
    </row>
    <row r="294" spans="1:3" hidden="1" x14ac:dyDescent="0.3">
      <c r="A294" s="391" t="e">
        <f>SUMIF('[1]kurzy ČNB'!A:A,J294,'[1]kurzy ČNB'!B:B)</f>
        <v>#VALUE!</v>
      </c>
      <c r="B294" s="125" t="e">
        <f t="shared" si="20"/>
        <v>#VALUE!</v>
      </c>
      <c r="C294" s="126" t="e">
        <f t="shared" si="21"/>
        <v>#VALUE!</v>
      </c>
    </row>
    <row r="295" spans="1:3" hidden="1" x14ac:dyDescent="0.3">
      <c r="A295" s="391" t="e">
        <f>SUMIF('[1]kurzy ČNB'!A:A,J295,'[1]kurzy ČNB'!B:B)</f>
        <v>#VALUE!</v>
      </c>
      <c r="B295" s="125" t="e">
        <f t="shared" si="20"/>
        <v>#VALUE!</v>
      </c>
      <c r="C295" s="126" t="e">
        <f t="shared" si="21"/>
        <v>#VALUE!</v>
      </c>
    </row>
    <row r="296" spans="1:3" hidden="1" x14ac:dyDescent="0.3">
      <c r="A296" s="391" t="e">
        <f>SUMIF('[1]kurzy ČNB'!A:A,J296,'[1]kurzy ČNB'!B:B)</f>
        <v>#VALUE!</v>
      </c>
      <c r="B296" s="125" t="e">
        <f t="shared" si="20"/>
        <v>#VALUE!</v>
      </c>
      <c r="C296" s="126" t="e">
        <f t="shared" si="21"/>
        <v>#VALUE!</v>
      </c>
    </row>
    <row r="297" spans="1:3" hidden="1" x14ac:dyDescent="0.3">
      <c r="A297" s="391" t="e">
        <f>SUMIF('[1]kurzy ČNB'!A:A,J297,'[1]kurzy ČNB'!B:B)</f>
        <v>#VALUE!</v>
      </c>
      <c r="B297" s="125" t="e">
        <f t="shared" si="20"/>
        <v>#VALUE!</v>
      </c>
      <c r="C297" s="126" t="e">
        <f t="shared" si="21"/>
        <v>#VALUE!</v>
      </c>
    </row>
    <row r="298" spans="1:3" hidden="1" x14ac:dyDescent="0.3">
      <c r="A298" s="391" t="e">
        <f>SUMIF('[1]kurzy ČNB'!A:A,J298,'[1]kurzy ČNB'!B:B)</f>
        <v>#VALUE!</v>
      </c>
      <c r="B298" s="125" t="e">
        <f t="shared" si="20"/>
        <v>#VALUE!</v>
      </c>
      <c r="C298" s="126" t="e">
        <f t="shared" si="21"/>
        <v>#VALUE!</v>
      </c>
    </row>
    <row r="299" spans="1:3" hidden="1" x14ac:dyDescent="0.3">
      <c r="A299" s="391" t="e">
        <f>SUMIF('[1]kurzy ČNB'!A:A,J299,'[1]kurzy ČNB'!B:B)</f>
        <v>#VALUE!</v>
      </c>
      <c r="B299" s="125" t="e">
        <f t="shared" si="20"/>
        <v>#VALUE!</v>
      </c>
      <c r="C299" s="126" t="e">
        <f t="shared" si="21"/>
        <v>#VALUE!</v>
      </c>
    </row>
    <row r="300" spans="1:3" hidden="1" x14ac:dyDescent="0.3">
      <c r="A300" s="391" t="e">
        <f>SUMIF('[1]kurzy ČNB'!A:A,J300,'[1]kurzy ČNB'!B:B)</f>
        <v>#VALUE!</v>
      </c>
      <c r="B300" s="125" t="e">
        <f t="shared" si="20"/>
        <v>#VALUE!</v>
      </c>
      <c r="C300" s="126" t="e">
        <f t="shared" si="21"/>
        <v>#VALUE!</v>
      </c>
    </row>
    <row r="301" spans="1:3" hidden="1" x14ac:dyDescent="0.3">
      <c r="A301" s="391" t="e">
        <f>SUMIF('[1]kurzy ČNB'!A:A,J301,'[1]kurzy ČNB'!B:B)</f>
        <v>#VALUE!</v>
      </c>
      <c r="B301" s="125" t="e">
        <f t="shared" si="20"/>
        <v>#VALUE!</v>
      </c>
      <c r="C301" s="126" t="e">
        <f t="shared" si="21"/>
        <v>#VALUE!</v>
      </c>
    </row>
    <row r="302" spans="1:3" hidden="1" x14ac:dyDescent="0.3">
      <c r="A302" s="391" t="e">
        <f>SUMIF('[1]kurzy ČNB'!A:A,J302,'[1]kurzy ČNB'!B:B)</f>
        <v>#VALUE!</v>
      </c>
      <c r="B302" s="125" t="e">
        <f t="shared" si="20"/>
        <v>#VALUE!</v>
      </c>
      <c r="C302" s="126" t="e">
        <f t="shared" si="21"/>
        <v>#VALUE!</v>
      </c>
    </row>
    <row r="303" spans="1:3" hidden="1" x14ac:dyDescent="0.3">
      <c r="A303" s="391" t="e">
        <f>SUMIF('[1]kurzy ČNB'!A:A,J303,'[1]kurzy ČNB'!B:B)</f>
        <v>#VALUE!</v>
      </c>
      <c r="B303" s="125" t="e">
        <f t="shared" si="20"/>
        <v>#VALUE!</v>
      </c>
      <c r="C303" s="126" t="e">
        <f t="shared" si="21"/>
        <v>#VALUE!</v>
      </c>
    </row>
    <row r="304" spans="1:3" hidden="1" x14ac:dyDescent="0.3">
      <c r="A304" s="391" t="e">
        <f>SUMIF('[1]kurzy ČNB'!A:A,J304,'[1]kurzy ČNB'!B:B)</f>
        <v>#VALUE!</v>
      </c>
      <c r="B304" s="125" t="e">
        <f t="shared" si="20"/>
        <v>#VALUE!</v>
      </c>
      <c r="C304" s="126" t="e">
        <f t="shared" si="21"/>
        <v>#VALUE!</v>
      </c>
    </row>
    <row r="305" spans="1:3" hidden="1" x14ac:dyDescent="0.3">
      <c r="A305" s="391" t="e">
        <f>SUMIF('[1]kurzy ČNB'!A:A,J305,'[1]kurzy ČNB'!B:B)</f>
        <v>#VALUE!</v>
      </c>
      <c r="B305" s="125" t="e">
        <f t="shared" si="20"/>
        <v>#VALUE!</v>
      </c>
      <c r="C305" s="126" t="e">
        <f t="shared" si="21"/>
        <v>#VALUE!</v>
      </c>
    </row>
    <row r="306" spans="1:3" hidden="1" x14ac:dyDescent="0.3">
      <c r="A306" s="391" t="e">
        <f>SUMIF('[1]kurzy ČNB'!A:A,J306,'[1]kurzy ČNB'!B:B)</f>
        <v>#VALUE!</v>
      </c>
      <c r="B306" s="125" t="e">
        <f t="shared" si="20"/>
        <v>#VALUE!</v>
      </c>
      <c r="C306" s="126" t="e">
        <f t="shared" si="21"/>
        <v>#VALUE!</v>
      </c>
    </row>
    <row r="307" spans="1:3" hidden="1" x14ac:dyDescent="0.3">
      <c r="A307" s="391" t="e">
        <f>SUMIF('[1]kurzy ČNB'!A:A,J307,'[1]kurzy ČNB'!B:B)</f>
        <v>#VALUE!</v>
      </c>
      <c r="B307" s="125" t="e">
        <f t="shared" si="20"/>
        <v>#VALUE!</v>
      </c>
      <c r="C307" s="126" t="e">
        <f t="shared" si="21"/>
        <v>#VALUE!</v>
      </c>
    </row>
    <row r="308" spans="1:3" hidden="1" x14ac:dyDescent="0.3">
      <c r="A308" s="391" t="e">
        <f>SUMIF('[1]kurzy ČNB'!A:A,J308,'[1]kurzy ČNB'!B:B)</f>
        <v>#VALUE!</v>
      </c>
      <c r="B308" s="125" t="e">
        <f t="shared" si="20"/>
        <v>#VALUE!</v>
      </c>
      <c r="C308" s="126" t="e">
        <f t="shared" si="21"/>
        <v>#VALUE!</v>
      </c>
    </row>
    <row r="309" spans="1:3" hidden="1" x14ac:dyDescent="0.3">
      <c r="A309" s="391" t="e">
        <f>SUMIF('[1]kurzy ČNB'!A:A,J309,'[1]kurzy ČNB'!B:B)</f>
        <v>#VALUE!</v>
      </c>
      <c r="B309" s="125" t="e">
        <f t="shared" si="20"/>
        <v>#VALUE!</v>
      </c>
      <c r="C309" s="126" t="e">
        <f t="shared" si="21"/>
        <v>#VALUE!</v>
      </c>
    </row>
    <row r="310" spans="1:3" hidden="1" x14ac:dyDescent="0.3">
      <c r="A310" s="391" t="e">
        <f>SUMIF('[1]kurzy ČNB'!A:A,J310,'[1]kurzy ČNB'!B:B)</f>
        <v>#VALUE!</v>
      </c>
      <c r="B310" s="125" t="e">
        <f t="shared" si="20"/>
        <v>#VALUE!</v>
      </c>
      <c r="C310" s="126" t="e">
        <f t="shared" si="21"/>
        <v>#VALUE!</v>
      </c>
    </row>
    <row r="311" spans="1:3" hidden="1" x14ac:dyDescent="0.3">
      <c r="A311" s="391" t="e">
        <f>SUMIF('[1]kurzy ČNB'!A:A,J311,'[1]kurzy ČNB'!B:B)</f>
        <v>#VALUE!</v>
      </c>
      <c r="B311" s="125" t="e">
        <f t="shared" si="20"/>
        <v>#VALUE!</v>
      </c>
      <c r="C311" s="126" t="e">
        <f t="shared" si="21"/>
        <v>#VALUE!</v>
      </c>
    </row>
    <row r="312" spans="1:3" hidden="1" x14ac:dyDescent="0.3">
      <c r="A312" s="391" t="e">
        <f>SUMIF('[1]kurzy ČNB'!A:A,J312,'[1]kurzy ČNB'!B:B)</f>
        <v>#VALUE!</v>
      </c>
      <c r="B312" s="125" t="e">
        <f t="shared" si="20"/>
        <v>#VALUE!</v>
      </c>
      <c r="C312" s="126" t="e">
        <f t="shared" si="21"/>
        <v>#VALUE!</v>
      </c>
    </row>
    <row r="313" spans="1:3" hidden="1" x14ac:dyDescent="0.3">
      <c r="A313" s="391" t="e">
        <f>SUMIF('[1]kurzy ČNB'!A:A,J313,'[1]kurzy ČNB'!B:B)</f>
        <v>#VALUE!</v>
      </c>
      <c r="B313" s="125" t="e">
        <f t="shared" si="20"/>
        <v>#VALUE!</v>
      </c>
      <c r="C313" s="126" t="e">
        <f t="shared" si="21"/>
        <v>#VALUE!</v>
      </c>
    </row>
    <row r="314" spans="1:3" hidden="1" x14ac:dyDescent="0.3">
      <c r="A314" s="391" t="e">
        <f>SUMIF('[1]kurzy ČNB'!A:A,J314,'[1]kurzy ČNB'!B:B)</f>
        <v>#VALUE!</v>
      </c>
      <c r="B314" s="125" t="e">
        <f t="shared" si="20"/>
        <v>#VALUE!</v>
      </c>
      <c r="C314" s="126" t="e">
        <f t="shared" si="21"/>
        <v>#VALUE!</v>
      </c>
    </row>
    <row r="315" spans="1:3" hidden="1" x14ac:dyDescent="0.3">
      <c r="A315" s="391" t="e">
        <f>SUMIF('[1]kurzy ČNB'!A:A,J315,'[1]kurzy ČNB'!B:B)</f>
        <v>#VALUE!</v>
      </c>
      <c r="B315" s="125" t="e">
        <f t="shared" si="20"/>
        <v>#VALUE!</v>
      </c>
      <c r="C315" s="126" t="e">
        <f t="shared" si="21"/>
        <v>#VALUE!</v>
      </c>
    </row>
    <row r="316" spans="1:3" hidden="1" x14ac:dyDescent="0.3">
      <c r="A316" s="391" t="e">
        <f>SUMIF('[1]kurzy ČNB'!A:A,J316,'[1]kurzy ČNB'!B:B)</f>
        <v>#VALUE!</v>
      </c>
      <c r="B316" s="125" t="e">
        <f t="shared" si="20"/>
        <v>#VALUE!</v>
      </c>
      <c r="C316" s="126" t="e">
        <f t="shared" si="21"/>
        <v>#VALUE!</v>
      </c>
    </row>
    <row r="317" spans="1:3" hidden="1" x14ac:dyDescent="0.3">
      <c r="A317" s="391" t="e">
        <f>SUMIF('[1]kurzy ČNB'!A:A,J317,'[1]kurzy ČNB'!B:B)</f>
        <v>#VALUE!</v>
      </c>
      <c r="B317" s="125" t="e">
        <f t="shared" si="20"/>
        <v>#VALUE!</v>
      </c>
      <c r="C317" s="126" t="e">
        <f t="shared" si="21"/>
        <v>#VALUE!</v>
      </c>
    </row>
    <row r="318" spans="1:3" hidden="1" x14ac:dyDescent="0.3">
      <c r="A318" s="391" t="e">
        <f>SUMIF('[1]kurzy ČNB'!A:A,J318,'[1]kurzy ČNB'!B:B)</f>
        <v>#VALUE!</v>
      </c>
      <c r="B318" s="125" t="e">
        <f t="shared" si="20"/>
        <v>#VALUE!</v>
      </c>
      <c r="C318" s="126" t="e">
        <f t="shared" si="21"/>
        <v>#VALUE!</v>
      </c>
    </row>
    <row r="319" spans="1:3" hidden="1" x14ac:dyDescent="0.3">
      <c r="A319" s="391" t="e">
        <f>SUMIF('[1]kurzy ČNB'!A:A,J319,'[1]kurzy ČNB'!B:B)</f>
        <v>#VALUE!</v>
      </c>
      <c r="B319" s="125" t="e">
        <f t="shared" si="20"/>
        <v>#VALUE!</v>
      </c>
      <c r="C319" s="126" t="e">
        <f t="shared" si="21"/>
        <v>#VALUE!</v>
      </c>
    </row>
    <row r="320" spans="1:3" hidden="1" x14ac:dyDescent="0.3">
      <c r="A320" s="391" t="e">
        <f>SUMIF('[1]kurzy ČNB'!A:A,J320,'[1]kurzy ČNB'!B:B)</f>
        <v>#VALUE!</v>
      </c>
      <c r="B320" s="125" t="e">
        <f t="shared" si="20"/>
        <v>#VALUE!</v>
      </c>
      <c r="C320" s="126" t="e">
        <f t="shared" si="21"/>
        <v>#VALUE!</v>
      </c>
    </row>
    <row r="321" spans="1:4" hidden="1" x14ac:dyDescent="0.3">
      <c r="A321" s="391" t="e">
        <f>SUMIF('[1]kurzy ČNB'!A:A,J321,'[1]kurzy ČNB'!B:B)</f>
        <v>#VALUE!</v>
      </c>
      <c r="B321" s="125" t="e">
        <f t="shared" si="20"/>
        <v>#VALUE!</v>
      </c>
      <c r="C321" s="126" t="e">
        <f t="shared" si="21"/>
        <v>#VALUE!</v>
      </c>
    </row>
    <row r="322" spans="1:4" hidden="1" x14ac:dyDescent="0.3">
      <c r="A322" s="391" t="e">
        <f>SUMIF('[1]kurzy ČNB'!A:A,J322,'[1]kurzy ČNB'!B:B)</f>
        <v>#VALUE!</v>
      </c>
      <c r="B322" s="125" t="e">
        <f t="shared" si="20"/>
        <v>#VALUE!</v>
      </c>
      <c r="C322" s="126" t="e">
        <f t="shared" si="21"/>
        <v>#VALUE!</v>
      </c>
    </row>
    <row r="323" spans="1:4" hidden="1" x14ac:dyDescent="0.3">
      <c r="A323" s="391" t="e">
        <f>SUMIF('[1]kurzy ČNB'!A:A,J323,'[1]kurzy ČNB'!B:B)</f>
        <v>#VALUE!</v>
      </c>
      <c r="B323" s="125" t="e">
        <f t="shared" si="20"/>
        <v>#VALUE!</v>
      </c>
      <c r="C323" s="126" t="e">
        <f t="shared" si="21"/>
        <v>#VALUE!</v>
      </c>
    </row>
    <row r="324" spans="1:4" hidden="1" x14ac:dyDescent="0.3">
      <c r="A324" s="391" t="e">
        <f>SUMIF('[1]kurzy ČNB'!A:A,J324,'[1]kurzy ČNB'!B:B)</f>
        <v>#VALUE!</v>
      </c>
      <c r="B324" s="125" t="e">
        <f t="shared" si="20"/>
        <v>#VALUE!</v>
      </c>
      <c r="C324" s="126" t="e">
        <f t="shared" si="21"/>
        <v>#VALUE!</v>
      </c>
    </row>
    <row r="325" spans="1:4" hidden="1" x14ac:dyDescent="0.3">
      <c r="A325" s="391" t="e">
        <f>SUMIF('[1]kurzy ČNB'!A:A,J325,'[1]kurzy ČNB'!B:B)</f>
        <v>#VALUE!</v>
      </c>
      <c r="B325" s="125" t="e">
        <f t="shared" si="20"/>
        <v>#VALUE!</v>
      </c>
      <c r="C325" s="126" t="e">
        <f t="shared" si="21"/>
        <v>#VALUE!</v>
      </c>
    </row>
    <row r="326" spans="1:4" hidden="1" x14ac:dyDescent="0.3">
      <c r="A326" s="391" t="e">
        <f>SUMIF('[1]kurzy ČNB'!A:A,J326,'[1]kurzy ČNB'!B:B)</f>
        <v>#VALUE!</v>
      </c>
      <c r="B326" s="125" t="e">
        <f t="shared" si="20"/>
        <v>#VALUE!</v>
      </c>
      <c r="C326" s="126" t="e">
        <f t="shared" si="21"/>
        <v>#VALUE!</v>
      </c>
    </row>
    <row r="327" spans="1:4" hidden="1" x14ac:dyDescent="0.3">
      <c r="A327" s="391" t="e">
        <f>SUMIF('[1]kurzy ČNB'!A:A,J327,'[1]kurzy ČNB'!B:B)</f>
        <v>#VALUE!</v>
      </c>
      <c r="B327" s="125" t="e">
        <f t="shared" si="20"/>
        <v>#VALUE!</v>
      </c>
      <c r="C327" s="126" t="e">
        <f t="shared" si="21"/>
        <v>#VALUE!</v>
      </c>
    </row>
    <row r="328" spans="1:4" hidden="1" x14ac:dyDescent="0.3">
      <c r="A328" s="391" t="e">
        <f>SUMIF('[1]kurzy ČNB'!A:A,J328,'[1]kurzy ČNB'!B:B)</f>
        <v>#VALUE!</v>
      </c>
      <c r="B328" s="125" t="e">
        <f t="shared" si="20"/>
        <v>#VALUE!</v>
      </c>
      <c r="C328" s="126" t="e">
        <f t="shared" si="21"/>
        <v>#VALUE!</v>
      </c>
    </row>
    <row r="329" spans="1:4" hidden="1" x14ac:dyDescent="0.3">
      <c r="A329" s="391" t="e">
        <f>SUMIF('[1]kurzy ČNB'!A:A,J329,'[1]kurzy ČNB'!B:B)</f>
        <v>#VALUE!</v>
      </c>
      <c r="B329" s="125" t="e">
        <f t="shared" si="20"/>
        <v>#VALUE!</v>
      </c>
      <c r="C329" s="126" t="e">
        <f t="shared" si="21"/>
        <v>#VALUE!</v>
      </c>
    </row>
    <row r="330" spans="1:4" hidden="1" x14ac:dyDescent="0.3">
      <c r="A330" s="391" t="e">
        <f>SUMIF('[1]kurzy ČNB'!A:A,J330,'[1]kurzy ČNB'!B:B)</f>
        <v>#VALUE!</v>
      </c>
      <c r="B330" s="125" t="e">
        <f t="shared" si="20"/>
        <v>#VALUE!</v>
      </c>
      <c r="C330" s="126" t="e">
        <f t="shared" si="21"/>
        <v>#VALUE!</v>
      </c>
    </row>
    <row r="331" spans="1:4" hidden="1" x14ac:dyDescent="0.3">
      <c r="A331" s="391" t="e">
        <f>SUMIF('[1]kurzy ČNB'!A:A,J331,'[1]kurzy ČNB'!B:B)</f>
        <v>#VALUE!</v>
      </c>
      <c r="B331" s="125" t="e">
        <f t="shared" si="20"/>
        <v>#VALUE!</v>
      </c>
      <c r="C331" s="126" t="e">
        <f t="shared" si="21"/>
        <v>#VALUE!</v>
      </c>
    </row>
    <row r="332" spans="1:4" hidden="1" x14ac:dyDescent="0.3">
      <c r="A332" s="391" t="e">
        <f>SUMIF('[1]kurzy ČNB'!A:A,J332,'[1]kurzy ČNB'!B:B)</f>
        <v>#VALUE!</v>
      </c>
      <c r="B332" s="125" t="e">
        <f t="shared" si="20"/>
        <v>#VALUE!</v>
      </c>
      <c r="C332" s="126" t="e">
        <f t="shared" si="21"/>
        <v>#VALUE!</v>
      </c>
    </row>
    <row r="333" spans="1:4" hidden="1" x14ac:dyDescent="0.3">
      <c r="A333" s="391" t="e">
        <f>SUMIF('[1]kurzy ČNB'!A:A,J333,'[1]kurzy ČNB'!B:B)</f>
        <v>#VALUE!</v>
      </c>
      <c r="B333" s="125" t="e">
        <f t="shared" si="20"/>
        <v>#VALUE!</v>
      </c>
      <c r="C333" s="126" t="e">
        <f t="shared" si="21"/>
        <v>#VALUE!</v>
      </c>
    </row>
    <row r="335" spans="1:4" x14ac:dyDescent="0.3">
      <c r="C335" s="122">
        <f>SUBTOTAL(9,C4:C170)</f>
        <v>22684.93</v>
      </c>
      <c r="D335" s="65"/>
    </row>
  </sheetData>
  <autoFilter ref="A2:AC333" xr:uid="{A4F97152-70A4-456F-80A2-3617E5507B5C}">
    <filterColumn colId="3">
      <filters>
        <filter val="221001"/>
      </filters>
    </filterColumn>
    <filterColumn colId="15">
      <filters>
        <filter val="379000"/>
      </filters>
    </filterColumn>
    <sortState xmlns:xlrd2="http://schemas.microsoft.com/office/spreadsheetml/2017/richdata2" ref="A5:AB170">
      <sortCondition ref="C2:C333"/>
    </sortState>
  </autoFilter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99E0-EC6F-4D65-87F4-A1EC0F006C24}">
  <sheetPr codeName="List20"/>
  <dimension ref="A2:E4"/>
  <sheetViews>
    <sheetView workbookViewId="0">
      <selection activeCell="A5" sqref="A5:XFD8"/>
    </sheetView>
  </sheetViews>
  <sheetFormatPr defaultRowHeight="14.4" x14ac:dyDescent="0.3"/>
  <cols>
    <col min="1" max="1" width="17.88671875" bestFit="1" customWidth="1"/>
    <col min="2" max="2" width="18.109375" bestFit="1" customWidth="1"/>
    <col min="3" max="3" width="17.5546875" bestFit="1" customWidth="1"/>
    <col min="4" max="4" width="15" bestFit="1" customWidth="1"/>
    <col min="5" max="5" width="17.5546875" style="70" bestFit="1" customWidth="1"/>
    <col min="6" max="6" width="15.44140625" bestFit="1" customWidth="1"/>
    <col min="7" max="7" width="13.109375" bestFit="1" customWidth="1"/>
    <col min="8" max="8" width="11.6640625" bestFit="1" customWidth="1"/>
  </cols>
  <sheetData>
    <row r="2" spans="1:5" s="70" customFormat="1" x14ac:dyDescent="0.3">
      <c r="A2" t="s">
        <v>944</v>
      </c>
      <c r="B2"/>
      <c r="C2"/>
      <c r="D2"/>
    </row>
    <row r="3" spans="1:5" s="70" customFormat="1" x14ac:dyDescent="0.3">
      <c r="A3" t="s">
        <v>52</v>
      </c>
      <c r="B3" t="s">
        <v>53</v>
      </c>
      <c r="C3" s="70" t="s">
        <v>945</v>
      </c>
      <c r="D3" s="70" t="s">
        <v>946</v>
      </c>
      <c r="E3" s="70" t="s">
        <v>947</v>
      </c>
    </row>
    <row r="4" spans="1:5" s="70" customFormat="1" x14ac:dyDescent="0.3">
      <c r="A4" s="77" t="e">
        <f>#REF!/'kurzy ČNB'!$B$653</f>
        <v>#REF!</v>
      </c>
      <c r="B4" s="197">
        <f>SUM(C4:E4)</f>
        <v>36750</v>
      </c>
      <c r="C4" s="70">
        <v>0</v>
      </c>
      <c r="D4" s="197">
        <f>-'473-SB'!G57/1000</f>
        <v>1350</v>
      </c>
      <c r="E4" s="197">
        <f>-('473-SB'!G70+'473-SB'!G83+'473-SB'!G96+'473-SB'!G109+'473-SB'!G110)/1000</f>
        <v>35400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9765A-F924-47BF-AD3C-B01D0D730BAF}">
  <sheetPr codeName="List21">
    <tabColor theme="6" tint="0.59999389629810485"/>
  </sheetPr>
  <dimension ref="A1:B1497"/>
  <sheetViews>
    <sheetView topLeftCell="A1405" workbookViewId="0">
      <selection activeCell="B1307" sqref="B1307:B1308"/>
    </sheetView>
  </sheetViews>
  <sheetFormatPr defaultColWidth="9" defaultRowHeight="14.4" x14ac:dyDescent="0.3"/>
  <cols>
    <col min="1" max="1" width="19" style="127" bestFit="1" customWidth="1"/>
    <col min="2" max="2" width="8" style="442"/>
    <col min="3" max="16384" width="9" style="89"/>
  </cols>
  <sheetData>
    <row r="1" spans="1:2" x14ac:dyDescent="0.3">
      <c r="A1" s="129" t="s">
        <v>14</v>
      </c>
      <c r="B1" s="442" t="s">
        <v>15</v>
      </c>
    </row>
    <row r="2" spans="1:2" x14ac:dyDescent="0.3">
      <c r="A2" s="129" t="s">
        <v>57</v>
      </c>
      <c r="B2" s="442">
        <v>1</v>
      </c>
    </row>
    <row r="3" spans="1:2" x14ac:dyDescent="0.3">
      <c r="A3" s="129" t="s">
        <v>58</v>
      </c>
      <c r="B3" s="442" t="s">
        <v>59</v>
      </c>
    </row>
    <row r="4" spans="1:2" x14ac:dyDescent="0.3">
      <c r="A4" s="129">
        <v>43467</v>
      </c>
      <c r="B4" s="442">
        <v>25.75</v>
      </c>
    </row>
    <row r="5" spans="1:2" x14ac:dyDescent="0.3">
      <c r="A5" s="129" t="s">
        <v>60</v>
      </c>
      <c r="B5" s="442">
        <v>25.68</v>
      </c>
    </row>
    <row r="6" spans="1:2" x14ac:dyDescent="0.3">
      <c r="A6" s="129" t="s">
        <v>61</v>
      </c>
      <c r="B6" s="442">
        <v>25.65</v>
      </c>
    </row>
    <row r="7" spans="1:2" x14ac:dyDescent="0.3">
      <c r="A7" s="129" t="s">
        <v>62</v>
      </c>
      <c r="B7" s="442">
        <v>25.574999999999999</v>
      </c>
    </row>
    <row r="8" spans="1:2" x14ac:dyDescent="0.3">
      <c r="A8" s="129" t="s">
        <v>63</v>
      </c>
      <c r="B8" s="442">
        <v>25.64</v>
      </c>
    </row>
    <row r="9" spans="1:2" x14ac:dyDescent="0.3">
      <c r="A9" s="129" t="s">
        <v>64</v>
      </c>
      <c r="B9" s="442">
        <v>25.63</v>
      </c>
    </row>
    <row r="10" spans="1:2" x14ac:dyDescent="0.3">
      <c r="A10" s="129" t="s">
        <v>65</v>
      </c>
      <c r="B10" s="442">
        <v>25.625</v>
      </c>
    </row>
    <row r="11" spans="1:2" x14ac:dyDescent="0.3">
      <c r="A11" s="129" t="s">
        <v>66</v>
      </c>
      <c r="B11" s="442">
        <v>25.605</v>
      </c>
    </row>
    <row r="12" spans="1:2" x14ac:dyDescent="0.3">
      <c r="A12" s="129" t="s">
        <v>67</v>
      </c>
      <c r="B12" s="442">
        <v>25.56</v>
      </c>
    </row>
    <row r="13" spans="1:2" x14ac:dyDescent="0.3">
      <c r="A13" s="129" t="s">
        <v>68</v>
      </c>
      <c r="B13" s="442">
        <v>25.57</v>
      </c>
    </row>
    <row r="14" spans="1:2" x14ac:dyDescent="0.3">
      <c r="A14" s="129" t="s">
        <v>69</v>
      </c>
      <c r="B14" s="442">
        <v>25.565000000000001</v>
      </c>
    </row>
    <row r="15" spans="1:2" x14ac:dyDescent="0.3">
      <c r="A15" s="129" t="s">
        <v>70</v>
      </c>
      <c r="B15" s="442">
        <v>25.535</v>
      </c>
    </row>
    <row r="16" spans="1:2" x14ac:dyDescent="0.3">
      <c r="A16" s="129" t="s">
        <v>71</v>
      </c>
      <c r="B16" s="442">
        <v>25.58</v>
      </c>
    </row>
    <row r="17" spans="1:2" x14ac:dyDescent="0.3">
      <c r="A17" s="129" t="s">
        <v>72</v>
      </c>
      <c r="B17" s="442">
        <v>25.594999999999999</v>
      </c>
    </row>
    <row r="18" spans="1:2" x14ac:dyDescent="0.3">
      <c r="A18" s="129" t="s">
        <v>73</v>
      </c>
      <c r="B18" s="442">
        <v>25.61</v>
      </c>
    </row>
    <row r="19" spans="1:2" x14ac:dyDescent="0.3">
      <c r="A19" s="129" t="s">
        <v>74</v>
      </c>
      <c r="B19" s="442">
        <v>25.695</v>
      </c>
    </row>
    <row r="20" spans="1:2" x14ac:dyDescent="0.3">
      <c r="A20" s="129" t="s">
        <v>75</v>
      </c>
      <c r="B20" s="442">
        <v>25.695</v>
      </c>
    </row>
    <row r="21" spans="1:2" x14ac:dyDescent="0.3">
      <c r="A21" s="129" t="s">
        <v>76</v>
      </c>
      <c r="B21" s="442">
        <v>25.695</v>
      </c>
    </row>
    <row r="22" spans="1:2" x14ac:dyDescent="0.3">
      <c r="A22" s="129" t="s">
        <v>77</v>
      </c>
      <c r="B22" s="442">
        <v>25.725000000000001</v>
      </c>
    </row>
    <row r="23" spans="1:2" x14ac:dyDescent="0.3">
      <c r="A23" s="129" t="s">
        <v>78</v>
      </c>
      <c r="B23" s="442">
        <v>25.745000000000001</v>
      </c>
    </row>
    <row r="24" spans="1:2" x14ac:dyDescent="0.3">
      <c r="A24" s="129" t="s">
        <v>79</v>
      </c>
      <c r="B24" s="442">
        <v>25.8</v>
      </c>
    </row>
    <row r="25" spans="1:2" x14ac:dyDescent="0.3">
      <c r="A25" s="129" t="s">
        <v>80</v>
      </c>
      <c r="B25" s="442">
        <v>25.76</v>
      </c>
    </row>
    <row r="26" spans="1:2" x14ac:dyDescent="0.3">
      <c r="A26" s="129" t="s">
        <v>81</v>
      </c>
      <c r="B26" s="442">
        <v>25.695</v>
      </c>
    </row>
    <row r="27" spans="1:2" x14ac:dyDescent="0.3">
      <c r="A27" s="129" t="s">
        <v>82</v>
      </c>
      <c r="B27" s="442">
        <v>25.73</v>
      </c>
    </row>
    <row r="28" spans="1:2" x14ac:dyDescent="0.3">
      <c r="A28" s="129" t="s">
        <v>83</v>
      </c>
      <c r="B28" s="442">
        <v>25.7</v>
      </c>
    </row>
    <row r="29" spans="1:2" x14ac:dyDescent="0.3">
      <c r="A29" s="129" t="s">
        <v>84</v>
      </c>
      <c r="B29" s="442">
        <v>25.785</v>
      </c>
    </row>
    <row r="30" spans="1:2" x14ac:dyDescent="0.3">
      <c r="A30" s="129" t="s">
        <v>85</v>
      </c>
      <c r="B30" s="442">
        <v>25.805</v>
      </c>
    </row>
    <row r="31" spans="1:2" x14ac:dyDescent="0.3">
      <c r="A31" s="129" t="s">
        <v>86</v>
      </c>
      <c r="B31" s="442">
        <v>25.805</v>
      </c>
    </row>
    <row r="32" spans="1:2" x14ac:dyDescent="0.3">
      <c r="A32" s="129" t="s">
        <v>87</v>
      </c>
      <c r="B32" s="442">
        <v>25.835000000000001</v>
      </c>
    </row>
    <row r="33" spans="1:2" x14ac:dyDescent="0.3">
      <c r="A33" s="129" t="s">
        <v>88</v>
      </c>
      <c r="B33" s="442">
        <v>25.87</v>
      </c>
    </row>
    <row r="34" spans="1:2" x14ac:dyDescent="0.3">
      <c r="A34" s="129" t="s">
        <v>89</v>
      </c>
      <c r="B34" s="442">
        <v>25.795000000000002</v>
      </c>
    </row>
    <row r="35" spans="1:2" x14ac:dyDescent="0.3">
      <c r="A35" s="129" t="s">
        <v>90</v>
      </c>
      <c r="B35" s="442">
        <v>25.79</v>
      </c>
    </row>
    <row r="36" spans="1:2" x14ac:dyDescent="0.3">
      <c r="A36" s="129" t="s">
        <v>91</v>
      </c>
      <c r="B36" s="442">
        <v>25.7</v>
      </c>
    </row>
    <row r="37" spans="1:2" x14ac:dyDescent="0.3">
      <c r="A37" s="129" t="s">
        <v>92</v>
      </c>
      <c r="B37" s="442">
        <v>25.715</v>
      </c>
    </row>
    <row r="38" spans="1:2" x14ac:dyDescent="0.3">
      <c r="A38" s="129" t="s">
        <v>93</v>
      </c>
      <c r="B38" s="442">
        <v>25.715</v>
      </c>
    </row>
    <row r="39" spans="1:2" x14ac:dyDescent="0.3">
      <c r="A39" s="129" t="s">
        <v>94</v>
      </c>
      <c r="B39" s="442">
        <v>25.68</v>
      </c>
    </row>
    <row r="40" spans="1:2" x14ac:dyDescent="0.3">
      <c r="A40" s="129" t="s">
        <v>95</v>
      </c>
      <c r="B40" s="442">
        <v>25.645</v>
      </c>
    </row>
    <row r="41" spans="1:2" x14ac:dyDescent="0.3">
      <c r="A41" s="129" t="s">
        <v>96</v>
      </c>
      <c r="B41" s="442">
        <v>25.664999999999999</v>
      </c>
    </row>
    <row r="42" spans="1:2" x14ac:dyDescent="0.3">
      <c r="A42" s="129" t="s">
        <v>97</v>
      </c>
      <c r="B42" s="442">
        <v>25.65</v>
      </c>
    </row>
    <row r="43" spans="1:2" x14ac:dyDescent="0.3">
      <c r="A43" s="129" t="s">
        <v>98</v>
      </c>
      <c r="B43" s="442">
        <v>25.664999999999999</v>
      </c>
    </row>
    <row r="44" spans="1:2" x14ac:dyDescent="0.3">
      <c r="A44" s="129" t="s">
        <v>99</v>
      </c>
      <c r="B44" s="442">
        <v>25.655000000000001</v>
      </c>
    </row>
    <row r="45" spans="1:2" x14ac:dyDescent="0.3">
      <c r="A45" s="129" t="s">
        <v>100</v>
      </c>
      <c r="B45" s="442">
        <v>25.6</v>
      </c>
    </row>
    <row r="46" spans="1:2" x14ac:dyDescent="0.3">
      <c r="A46" s="129" t="s">
        <v>101</v>
      </c>
      <c r="B46" s="442">
        <v>25.635000000000002</v>
      </c>
    </row>
    <row r="47" spans="1:2" x14ac:dyDescent="0.3">
      <c r="A47" s="129" t="s">
        <v>102</v>
      </c>
      <c r="B47" s="442">
        <v>25.625</v>
      </c>
    </row>
    <row r="48" spans="1:2" x14ac:dyDescent="0.3">
      <c r="A48" s="129" t="s">
        <v>103</v>
      </c>
      <c r="B48" s="442">
        <v>25.62</v>
      </c>
    </row>
    <row r="49" spans="1:2" x14ac:dyDescent="0.3">
      <c r="A49" s="129" t="s">
        <v>104</v>
      </c>
      <c r="B49" s="442">
        <v>25.594999999999999</v>
      </c>
    </row>
    <row r="50" spans="1:2" x14ac:dyDescent="0.3">
      <c r="A50" s="129" t="s">
        <v>105</v>
      </c>
      <c r="B50" s="442">
        <v>25.61</v>
      </c>
    </row>
    <row r="51" spans="1:2" x14ac:dyDescent="0.3">
      <c r="A51" s="129" t="s">
        <v>106</v>
      </c>
      <c r="B51" s="442">
        <v>25.64</v>
      </c>
    </row>
    <row r="52" spans="1:2" x14ac:dyDescent="0.3">
      <c r="A52" s="129" t="s">
        <v>107</v>
      </c>
      <c r="B52" s="442">
        <v>25.655000000000001</v>
      </c>
    </row>
    <row r="53" spans="1:2" x14ac:dyDescent="0.3">
      <c r="A53" s="129" t="s">
        <v>108</v>
      </c>
      <c r="B53" s="442">
        <v>25.67</v>
      </c>
    </row>
    <row r="54" spans="1:2" x14ac:dyDescent="0.3">
      <c r="A54" s="129" t="s">
        <v>109</v>
      </c>
      <c r="B54" s="442">
        <v>25.67</v>
      </c>
    </row>
    <row r="55" spans="1:2" x14ac:dyDescent="0.3">
      <c r="A55" s="129" t="s">
        <v>110</v>
      </c>
      <c r="B55" s="442">
        <v>25.67</v>
      </c>
    </row>
    <row r="56" spans="1:2" x14ac:dyDescent="0.3">
      <c r="A56" s="129" t="s">
        <v>111</v>
      </c>
      <c r="B56" s="442">
        <v>25.67</v>
      </c>
    </row>
    <row r="57" spans="1:2" x14ac:dyDescent="0.3">
      <c r="A57" s="129" t="s">
        <v>112</v>
      </c>
      <c r="B57" s="442">
        <v>25.614999999999998</v>
      </c>
    </row>
    <row r="58" spans="1:2" x14ac:dyDescent="0.3">
      <c r="A58" s="129" t="s">
        <v>113</v>
      </c>
      <c r="B58" s="442">
        <v>25.6</v>
      </c>
    </row>
    <row r="59" spans="1:2" x14ac:dyDescent="0.3">
      <c r="A59" s="129" t="s">
        <v>114</v>
      </c>
      <c r="B59" s="442">
        <v>25.645</v>
      </c>
    </row>
    <row r="60" spans="1:2" x14ac:dyDescent="0.3">
      <c r="A60" s="129" t="s">
        <v>115</v>
      </c>
      <c r="B60" s="442">
        <v>25.65</v>
      </c>
    </row>
    <row r="61" spans="1:2" x14ac:dyDescent="0.3">
      <c r="A61" s="129" t="s">
        <v>116</v>
      </c>
      <c r="B61" s="442">
        <v>25.725000000000001</v>
      </c>
    </row>
    <row r="62" spans="1:2" x14ac:dyDescent="0.3">
      <c r="A62" s="129" t="s">
        <v>117</v>
      </c>
      <c r="B62" s="442">
        <v>25.76</v>
      </c>
    </row>
    <row r="63" spans="1:2" x14ac:dyDescent="0.3">
      <c r="A63" s="129" t="s">
        <v>118</v>
      </c>
      <c r="B63" s="442">
        <v>25.77</v>
      </c>
    </row>
    <row r="64" spans="1:2" x14ac:dyDescent="0.3">
      <c r="A64" s="129" t="s">
        <v>119</v>
      </c>
      <c r="B64" s="442">
        <v>25.8</v>
      </c>
    </row>
    <row r="65" spans="1:2" x14ac:dyDescent="0.3">
      <c r="A65" s="129" t="s">
        <v>120</v>
      </c>
      <c r="B65" s="442">
        <v>25.78</v>
      </c>
    </row>
    <row r="66" spans="1:2" x14ac:dyDescent="0.3">
      <c r="A66" s="129" t="s">
        <v>121</v>
      </c>
      <c r="B66" s="442">
        <v>25.8</v>
      </c>
    </row>
    <row r="67" spans="1:2" x14ac:dyDescent="0.3">
      <c r="A67" s="129" t="s">
        <v>122</v>
      </c>
      <c r="B67" s="442">
        <v>25.79</v>
      </c>
    </row>
    <row r="68" spans="1:2" x14ac:dyDescent="0.3">
      <c r="A68" s="129" t="s">
        <v>123</v>
      </c>
      <c r="B68" s="442">
        <v>25.75</v>
      </c>
    </row>
    <row r="69" spans="1:2" x14ac:dyDescent="0.3">
      <c r="A69" s="129" t="s">
        <v>124</v>
      </c>
      <c r="B69" s="442">
        <v>25.725000000000001</v>
      </c>
    </row>
    <row r="70" spans="1:2" x14ac:dyDescent="0.3">
      <c r="A70" s="129" t="s">
        <v>125</v>
      </c>
      <c r="B70" s="442">
        <v>25.695</v>
      </c>
    </row>
    <row r="71" spans="1:2" x14ac:dyDescent="0.3">
      <c r="A71" s="129" t="s">
        <v>126</v>
      </c>
      <c r="B71" s="442">
        <v>25.61</v>
      </c>
    </row>
    <row r="72" spans="1:2" x14ac:dyDescent="0.3">
      <c r="A72" s="129" t="s">
        <v>127</v>
      </c>
      <c r="B72" s="442">
        <v>25.635000000000002</v>
      </c>
    </row>
    <row r="73" spans="1:2" x14ac:dyDescent="0.3">
      <c r="A73" s="129" t="s">
        <v>128</v>
      </c>
      <c r="B73" s="442">
        <v>25.62</v>
      </c>
    </row>
    <row r="74" spans="1:2" x14ac:dyDescent="0.3">
      <c r="A74" s="129" t="s">
        <v>129</v>
      </c>
      <c r="B74" s="442">
        <v>25.61</v>
      </c>
    </row>
    <row r="75" spans="1:2" x14ac:dyDescent="0.3">
      <c r="A75" s="129" t="s">
        <v>130</v>
      </c>
      <c r="B75" s="442">
        <v>25.605</v>
      </c>
    </row>
    <row r="76" spans="1:2" x14ac:dyDescent="0.3">
      <c r="A76" s="129" t="s">
        <v>131</v>
      </c>
      <c r="B76" s="442">
        <v>25.62</v>
      </c>
    </row>
    <row r="77" spans="1:2" x14ac:dyDescent="0.3">
      <c r="A77" s="129" t="s">
        <v>132</v>
      </c>
      <c r="B77" s="442">
        <v>25.625</v>
      </c>
    </row>
    <row r="78" spans="1:2" x14ac:dyDescent="0.3">
      <c r="A78" s="129" t="s">
        <v>133</v>
      </c>
      <c r="B78" s="442">
        <v>25.664999999999999</v>
      </c>
    </row>
    <row r="79" spans="1:2" x14ac:dyDescent="0.3">
      <c r="A79" s="129" t="s">
        <v>134</v>
      </c>
      <c r="B79" s="442">
        <v>25.655000000000001</v>
      </c>
    </row>
    <row r="80" spans="1:2" x14ac:dyDescent="0.3">
      <c r="A80" s="129" t="s">
        <v>135</v>
      </c>
      <c r="B80" s="442">
        <v>25.68</v>
      </c>
    </row>
    <row r="81" spans="1:2" x14ac:dyDescent="0.3">
      <c r="A81" s="129" t="s">
        <v>136</v>
      </c>
      <c r="B81" s="442">
        <v>25.745000000000001</v>
      </c>
    </row>
    <row r="82" spans="1:2" x14ac:dyDescent="0.3">
      <c r="A82" s="129" t="s">
        <v>137</v>
      </c>
      <c r="B82" s="442">
        <v>25.73</v>
      </c>
    </row>
    <row r="83" spans="1:2" x14ac:dyDescent="0.3">
      <c r="A83" s="129" t="s">
        <v>138</v>
      </c>
      <c r="B83" s="442">
        <v>25.734999999999999</v>
      </c>
    </row>
    <row r="84" spans="1:2" x14ac:dyDescent="0.3">
      <c r="A84" s="129" t="s">
        <v>139</v>
      </c>
      <c r="B84" s="442">
        <v>25.704999999999998</v>
      </c>
    </row>
    <row r="85" spans="1:2" x14ac:dyDescent="0.3">
      <c r="A85" s="129" t="s">
        <v>140</v>
      </c>
      <c r="B85" s="442">
        <v>25.68</v>
      </c>
    </row>
    <row r="86" spans="1:2" x14ac:dyDescent="0.3">
      <c r="A86" s="129" t="s">
        <v>141</v>
      </c>
      <c r="B86" s="442">
        <v>25.66</v>
      </c>
    </row>
    <row r="87" spans="1:2" x14ac:dyDescent="0.3">
      <c r="A87" s="129" t="s">
        <v>142</v>
      </c>
      <c r="B87" s="442">
        <v>25.645</v>
      </c>
    </row>
    <row r="88" spans="1:2" x14ac:dyDescent="0.3">
      <c r="A88" s="129" t="s">
        <v>143</v>
      </c>
      <c r="B88" s="442">
        <v>25.715</v>
      </c>
    </row>
    <row r="89" spans="1:2" x14ac:dyDescent="0.3">
      <c r="A89" s="129" t="s">
        <v>144</v>
      </c>
      <c r="B89" s="442">
        <v>25.715</v>
      </c>
    </row>
    <row r="90" spans="1:2" x14ac:dyDescent="0.3">
      <c r="A90" s="129" t="s">
        <v>145</v>
      </c>
      <c r="B90" s="442">
        <v>25.73</v>
      </c>
    </row>
    <row r="91" spans="1:2" x14ac:dyDescent="0.3">
      <c r="A91" s="129" t="s">
        <v>146</v>
      </c>
      <c r="B91" s="442">
        <v>25.72</v>
      </c>
    </row>
    <row r="92" spans="1:2" x14ac:dyDescent="0.3">
      <c r="A92" s="129" t="s">
        <v>147</v>
      </c>
      <c r="B92" s="442">
        <v>25.73</v>
      </c>
    </row>
    <row r="93" spans="1:2" x14ac:dyDescent="0.3">
      <c r="A93" s="129" t="s">
        <v>148</v>
      </c>
      <c r="B93" s="442">
        <v>25.774999999999999</v>
      </c>
    </row>
    <row r="94" spans="1:2" x14ac:dyDescent="0.3">
      <c r="A94" s="129" t="s">
        <v>149</v>
      </c>
      <c r="B94" s="442">
        <v>25.75</v>
      </c>
    </row>
    <row r="95" spans="1:2" x14ac:dyDescent="0.3">
      <c r="A95" s="129" t="s">
        <v>150</v>
      </c>
      <c r="B95" s="442">
        <v>25.76</v>
      </c>
    </row>
    <row r="96" spans="1:2" x14ac:dyDescent="0.3">
      <c r="A96" s="129" t="s">
        <v>151</v>
      </c>
      <c r="B96" s="442">
        <v>25.695</v>
      </c>
    </row>
    <row r="97" spans="1:2" x14ac:dyDescent="0.3">
      <c r="A97" s="129" t="s">
        <v>152</v>
      </c>
      <c r="B97" s="442">
        <v>25.75</v>
      </c>
    </row>
    <row r="98" spans="1:2" x14ac:dyDescent="0.3">
      <c r="A98" s="129" t="s">
        <v>153</v>
      </c>
      <c r="B98" s="442">
        <v>25.765000000000001</v>
      </c>
    </row>
    <row r="99" spans="1:2" x14ac:dyDescent="0.3">
      <c r="A99" s="129" t="s">
        <v>154</v>
      </c>
      <c r="B99" s="442">
        <v>25.774999999999999</v>
      </c>
    </row>
    <row r="100" spans="1:2" x14ac:dyDescent="0.3">
      <c r="A100" s="129" t="s">
        <v>155</v>
      </c>
      <c r="B100" s="442">
        <v>25.79</v>
      </c>
    </row>
    <row r="101" spans="1:2" x14ac:dyDescent="0.3">
      <c r="A101" s="129" t="s">
        <v>156</v>
      </c>
      <c r="B101" s="442">
        <v>25.82</v>
      </c>
    </row>
    <row r="102" spans="1:2" x14ac:dyDescent="0.3">
      <c r="A102" s="129" t="s">
        <v>157</v>
      </c>
      <c r="B102" s="442">
        <v>25.83</v>
      </c>
    </row>
    <row r="103" spans="1:2" x14ac:dyDescent="0.3">
      <c r="A103" s="129" t="s">
        <v>158</v>
      </c>
      <c r="B103" s="442">
        <v>25.835000000000001</v>
      </c>
    </row>
    <row r="104" spans="1:2" x14ac:dyDescent="0.3">
      <c r="A104" s="129" t="s">
        <v>159</v>
      </c>
      <c r="B104" s="442">
        <v>25.844999999999999</v>
      </c>
    </row>
    <row r="105" spans="1:2" x14ac:dyDescent="0.3">
      <c r="A105" s="129" t="s">
        <v>160</v>
      </c>
      <c r="B105" s="442">
        <v>25.86</v>
      </c>
    </row>
    <row r="106" spans="1:2" x14ac:dyDescent="0.3">
      <c r="A106" s="129" t="s">
        <v>161</v>
      </c>
      <c r="B106" s="442">
        <v>25.84</v>
      </c>
    </row>
    <row r="107" spans="1:2" x14ac:dyDescent="0.3">
      <c r="A107" s="129" t="s">
        <v>162</v>
      </c>
      <c r="B107" s="442">
        <v>25.817</v>
      </c>
    </row>
    <row r="108" spans="1:2" x14ac:dyDescent="0.3">
      <c r="A108" s="129" t="s">
        <v>163</v>
      </c>
      <c r="B108" s="442">
        <v>25.83</v>
      </c>
    </row>
    <row r="109" spans="1:2" x14ac:dyDescent="0.3">
      <c r="A109" s="129" t="s">
        <v>164</v>
      </c>
      <c r="B109" s="442">
        <v>25.745000000000001</v>
      </c>
    </row>
    <row r="110" spans="1:2" x14ac:dyDescent="0.3">
      <c r="A110" s="129" t="s">
        <v>165</v>
      </c>
      <c r="B110" s="442">
        <v>25.65</v>
      </c>
    </row>
    <row r="111" spans="1:2" x14ac:dyDescent="0.3">
      <c r="A111" s="129" t="s">
        <v>166</v>
      </c>
      <c r="B111" s="442">
        <v>25.66</v>
      </c>
    </row>
    <row r="112" spans="1:2" x14ac:dyDescent="0.3">
      <c r="A112" s="129" t="s">
        <v>167</v>
      </c>
      <c r="B112" s="442">
        <v>25.64</v>
      </c>
    </row>
    <row r="113" spans="1:2" x14ac:dyDescent="0.3">
      <c r="A113" s="129" t="s">
        <v>168</v>
      </c>
      <c r="B113" s="442">
        <v>25.625</v>
      </c>
    </row>
    <row r="114" spans="1:2" x14ac:dyDescent="0.3">
      <c r="A114" s="129" t="s">
        <v>169</v>
      </c>
      <c r="B114" s="442">
        <v>25.64</v>
      </c>
    </row>
    <row r="115" spans="1:2" x14ac:dyDescent="0.3">
      <c r="A115" s="129" t="s">
        <v>170</v>
      </c>
      <c r="B115" s="442">
        <v>25.614999999999998</v>
      </c>
    </row>
    <row r="116" spans="1:2" x14ac:dyDescent="0.3">
      <c r="A116" s="129" t="s">
        <v>171</v>
      </c>
      <c r="B116" s="442">
        <v>25.58</v>
      </c>
    </row>
    <row r="117" spans="1:2" x14ac:dyDescent="0.3">
      <c r="A117" s="129" t="s">
        <v>172</v>
      </c>
      <c r="B117" s="442">
        <v>25.54</v>
      </c>
    </row>
    <row r="118" spans="1:2" x14ac:dyDescent="0.3">
      <c r="A118" s="129" t="s">
        <v>173</v>
      </c>
      <c r="B118" s="442">
        <v>25.56</v>
      </c>
    </row>
    <row r="119" spans="1:2" x14ac:dyDescent="0.3">
      <c r="A119" s="129" t="s">
        <v>174</v>
      </c>
      <c r="B119" s="442">
        <v>25.61</v>
      </c>
    </row>
    <row r="120" spans="1:2" x14ac:dyDescent="0.3">
      <c r="A120" s="129" t="s">
        <v>175</v>
      </c>
      <c r="B120" s="442">
        <v>25.635000000000002</v>
      </c>
    </row>
    <row r="121" spans="1:2" x14ac:dyDescent="0.3">
      <c r="A121" s="129" t="s">
        <v>176</v>
      </c>
      <c r="B121" s="442">
        <v>25.62</v>
      </c>
    </row>
    <row r="122" spans="1:2" x14ac:dyDescent="0.3">
      <c r="A122" s="129" t="s">
        <v>177</v>
      </c>
      <c r="B122" s="442">
        <v>25.61</v>
      </c>
    </row>
    <row r="123" spans="1:2" x14ac:dyDescent="0.3">
      <c r="A123" s="129" t="s">
        <v>178</v>
      </c>
      <c r="B123" s="442">
        <v>25.6</v>
      </c>
    </row>
    <row r="124" spans="1:2" x14ac:dyDescent="0.3">
      <c r="A124" s="129" t="s">
        <v>179</v>
      </c>
      <c r="B124" s="442">
        <v>25.555</v>
      </c>
    </row>
    <row r="125" spans="1:2" x14ac:dyDescent="0.3">
      <c r="A125" s="129" t="s">
        <v>180</v>
      </c>
      <c r="B125" s="442">
        <v>25.484999999999999</v>
      </c>
    </row>
    <row r="126" spans="1:2" x14ac:dyDescent="0.3">
      <c r="A126" s="129" t="s">
        <v>181</v>
      </c>
      <c r="B126" s="442">
        <v>25.434999999999999</v>
      </c>
    </row>
    <row r="127" spans="1:2" x14ac:dyDescent="0.3">
      <c r="A127" s="129" t="s">
        <v>182</v>
      </c>
      <c r="B127" s="442">
        <v>25.445</v>
      </c>
    </row>
    <row r="128" spans="1:2" x14ac:dyDescent="0.3">
      <c r="A128" s="385" t="s">
        <v>183</v>
      </c>
      <c r="B128" s="442">
        <v>25.445</v>
      </c>
    </row>
    <row r="129" spans="1:2" x14ac:dyDescent="0.3">
      <c r="A129" s="129" t="s">
        <v>184</v>
      </c>
      <c r="B129" s="442">
        <v>25.48</v>
      </c>
    </row>
    <row r="130" spans="1:2" x14ac:dyDescent="0.3">
      <c r="A130" s="129" t="s">
        <v>185</v>
      </c>
      <c r="B130" s="442">
        <v>25.46</v>
      </c>
    </row>
    <row r="131" spans="1:2" x14ac:dyDescent="0.3">
      <c r="A131" s="129" t="s">
        <v>186</v>
      </c>
      <c r="B131" s="442">
        <v>25.454999999999998</v>
      </c>
    </row>
    <row r="132" spans="1:2" x14ac:dyDescent="0.3">
      <c r="A132" s="129" t="s">
        <v>187</v>
      </c>
      <c r="B132" s="442">
        <v>25.434999999999999</v>
      </c>
    </row>
    <row r="133" spans="1:2" x14ac:dyDescent="0.3">
      <c r="A133" s="129" t="s">
        <v>188</v>
      </c>
      <c r="B133" s="442">
        <v>25.51</v>
      </c>
    </row>
    <row r="134" spans="1:2" x14ac:dyDescent="0.3">
      <c r="A134" s="129" t="s">
        <v>189</v>
      </c>
      <c r="B134" s="442">
        <v>25.545000000000002</v>
      </c>
    </row>
    <row r="135" spans="1:2" x14ac:dyDescent="0.3">
      <c r="A135" s="129" t="s">
        <v>190</v>
      </c>
      <c r="B135" s="442">
        <v>25.565000000000001</v>
      </c>
    </row>
    <row r="136" spans="1:2" x14ac:dyDescent="0.3">
      <c r="A136" s="129" t="s">
        <v>191</v>
      </c>
      <c r="B136" s="442">
        <v>25.605</v>
      </c>
    </row>
    <row r="137" spans="1:2" x14ac:dyDescent="0.3">
      <c r="A137" s="129" t="s">
        <v>192</v>
      </c>
      <c r="B137" s="442">
        <v>25.59</v>
      </c>
    </row>
    <row r="138" spans="1:2" x14ac:dyDescent="0.3">
      <c r="A138" s="129" t="s">
        <v>193</v>
      </c>
      <c r="B138" s="442">
        <v>25.574999999999999</v>
      </c>
    </row>
    <row r="139" spans="1:2" x14ac:dyDescent="0.3">
      <c r="A139" s="129" t="s">
        <v>194</v>
      </c>
      <c r="B139" s="442">
        <v>25.574999999999999</v>
      </c>
    </row>
    <row r="140" spans="1:2" x14ac:dyDescent="0.3">
      <c r="A140" s="129" t="s">
        <v>195</v>
      </c>
      <c r="B140" s="442">
        <v>25.605</v>
      </c>
    </row>
    <row r="141" spans="1:2" x14ac:dyDescent="0.3">
      <c r="A141" s="129" t="s">
        <v>196</v>
      </c>
      <c r="B141" s="442">
        <v>25.585000000000001</v>
      </c>
    </row>
    <row r="142" spans="1:2" x14ac:dyDescent="0.3">
      <c r="A142" s="129" t="s">
        <v>197</v>
      </c>
      <c r="B142" s="442">
        <v>25.545000000000002</v>
      </c>
    </row>
    <row r="143" spans="1:2" x14ac:dyDescent="0.3">
      <c r="A143" s="129" t="s">
        <v>198</v>
      </c>
      <c r="B143" s="442">
        <v>25.535</v>
      </c>
    </row>
    <row r="144" spans="1:2" x14ac:dyDescent="0.3">
      <c r="A144" s="129" t="s">
        <v>199</v>
      </c>
      <c r="B144" s="442">
        <v>25.545000000000002</v>
      </c>
    </row>
    <row r="145" spans="1:2" x14ac:dyDescent="0.3">
      <c r="A145" s="129" t="s">
        <v>200</v>
      </c>
      <c r="B145" s="442">
        <v>25.54</v>
      </c>
    </row>
    <row r="146" spans="1:2" x14ac:dyDescent="0.3">
      <c r="A146" s="129" t="s">
        <v>201</v>
      </c>
      <c r="B146" s="442">
        <v>25.52</v>
      </c>
    </row>
    <row r="147" spans="1:2" x14ac:dyDescent="0.3">
      <c r="A147" s="129" t="s">
        <v>202</v>
      </c>
      <c r="B147" s="442">
        <v>25.54</v>
      </c>
    </row>
    <row r="148" spans="1:2" x14ac:dyDescent="0.3">
      <c r="A148" s="129" t="s">
        <v>203</v>
      </c>
      <c r="B148" s="442">
        <v>25.61</v>
      </c>
    </row>
    <row r="149" spans="1:2" x14ac:dyDescent="0.3">
      <c r="A149" s="129" t="s">
        <v>204</v>
      </c>
      <c r="B149" s="442">
        <v>25.65</v>
      </c>
    </row>
    <row r="150" spans="1:2" x14ac:dyDescent="0.3">
      <c r="A150" s="129" t="s">
        <v>205</v>
      </c>
      <c r="B150" s="442">
        <v>25.66</v>
      </c>
    </row>
    <row r="151" spans="1:2" x14ac:dyDescent="0.3">
      <c r="A151" s="129" t="s">
        <v>206</v>
      </c>
      <c r="B151" s="442">
        <v>25.74</v>
      </c>
    </row>
    <row r="152" spans="1:2" x14ac:dyDescent="0.3">
      <c r="A152" s="129" t="s">
        <v>207</v>
      </c>
      <c r="B152" s="442">
        <v>25.765000000000001</v>
      </c>
    </row>
    <row r="153" spans="1:2" x14ac:dyDescent="0.3">
      <c r="A153" s="129" t="s">
        <v>208</v>
      </c>
      <c r="B153" s="442">
        <v>25.774999999999999</v>
      </c>
    </row>
    <row r="154" spans="1:2" x14ac:dyDescent="0.3">
      <c r="A154" s="129" t="s">
        <v>209</v>
      </c>
      <c r="B154" s="442">
        <v>25.725000000000001</v>
      </c>
    </row>
    <row r="155" spans="1:2" x14ac:dyDescent="0.3">
      <c r="A155" s="129" t="s">
        <v>210</v>
      </c>
      <c r="B155" s="442">
        <v>25.72</v>
      </c>
    </row>
    <row r="156" spans="1:2" x14ac:dyDescent="0.3">
      <c r="A156" s="129" t="s">
        <v>211</v>
      </c>
      <c r="B156" s="442">
        <v>25.79</v>
      </c>
    </row>
    <row r="157" spans="1:2" x14ac:dyDescent="0.3">
      <c r="A157" s="129" t="s">
        <v>212</v>
      </c>
      <c r="B157" s="442">
        <v>25.83</v>
      </c>
    </row>
    <row r="158" spans="1:2" x14ac:dyDescent="0.3">
      <c r="A158" s="129" t="s">
        <v>213</v>
      </c>
      <c r="B158" s="442">
        <v>25.83</v>
      </c>
    </row>
    <row r="159" spans="1:2" x14ac:dyDescent="0.3">
      <c r="A159" s="129" t="s">
        <v>214</v>
      </c>
      <c r="B159" s="442">
        <v>25.83</v>
      </c>
    </row>
    <row r="160" spans="1:2" x14ac:dyDescent="0.3">
      <c r="A160" s="129" t="s">
        <v>215</v>
      </c>
      <c r="B160" s="442">
        <v>25.885000000000002</v>
      </c>
    </row>
    <row r="161" spans="1:2" x14ac:dyDescent="0.3">
      <c r="A161" s="129" t="s">
        <v>216</v>
      </c>
      <c r="B161" s="442">
        <v>25.88</v>
      </c>
    </row>
    <row r="162" spans="1:2" x14ac:dyDescent="0.3">
      <c r="A162" s="129" t="s">
        <v>217</v>
      </c>
      <c r="B162" s="442">
        <v>25.734999999999999</v>
      </c>
    </row>
    <row r="163" spans="1:2" x14ac:dyDescent="0.3">
      <c r="A163" s="129" t="s">
        <v>218</v>
      </c>
      <c r="B163" s="442">
        <v>25.78</v>
      </c>
    </row>
    <row r="164" spans="1:2" x14ac:dyDescent="0.3">
      <c r="A164" s="129" t="s">
        <v>219</v>
      </c>
      <c r="B164" s="442">
        <v>25.795000000000002</v>
      </c>
    </row>
    <row r="165" spans="1:2" x14ac:dyDescent="0.3">
      <c r="A165" s="129" t="s">
        <v>220</v>
      </c>
      <c r="B165" s="442">
        <v>25.795000000000002</v>
      </c>
    </row>
    <row r="166" spans="1:2" x14ac:dyDescent="0.3">
      <c r="A166" s="129" t="s">
        <v>221</v>
      </c>
      <c r="B166" s="442">
        <v>25.785</v>
      </c>
    </row>
    <row r="167" spans="1:2" x14ac:dyDescent="0.3">
      <c r="A167" s="129" t="s">
        <v>222</v>
      </c>
      <c r="B167" s="442">
        <v>25.765000000000001</v>
      </c>
    </row>
    <row r="168" spans="1:2" x14ac:dyDescent="0.3">
      <c r="A168" s="129" t="s">
        <v>223</v>
      </c>
      <c r="B168" s="442">
        <v>25.79</v>
      </c>
    </row>
    <row r="169" spans="1:2" x14ac:dyDescent="0.3">
      <c r="A169" s="129" t="s">
        <v>224</v>
      </c>
      <c r="B169" s="442">
        <v>25.815000000000001</v>
      </c>
    </row>
    <row r="170" spans="1:2" x14ac:dyDescent="0.3">
      <c r="A170" s="129" t="s">
        <v>225</v>
      </c>
      <c r="B170" s="442">
        <v>25.844999999999999</v>
      </c>
    </row>
    <row r="171" spans="1:2" x14ac:dyDescent="0.3">
      <c r="A171" s="129" t="s">
        <v>226</v>
      </c>
      <c r="B171" s="442">
        <v>25.85</v>
      </c>
    </row>
    <row r="172" spans="1:2" x14ac:dyDescent="0.3">
      <c r="A172" s="129" t="s">
        <v>227</v>
      </c>
      <c r="B172" s="442">
        <v>25.914999999999999</v>
      </c>
    </row>
    <row r="173" spans="1:2" x14ac:dyDescent="0.3">
      <c r="A173" s="385" t="s">
        <v>228</v>
      </c>
      <c r="B173" s="442">
        <v>25.914999999999999</v>
      </c>
    </row>
    <row r="174" spans="1:2" x14ac:dyDescent="0.3">
      <c r="A174" s="129" t="s">
        <v>229</v>
      </c>
      <c r="B174" s="442">
        <v>25.92</v>
      </c>
    </row>
    <row r="175" spans="1:2" x14ac:dyDescent="0.3">
      <c r="A175" s="129" t="s">
        <v>230</v>
      </c>
      <c r="B175" s="442">
        <v>25.885000000000002</v>
      </c>
    </row>
    <row r="176" spans="1:2" x14ac:dyDescent="0.3">
      <c r="A176" s="129" t="s">
        <v>231</v>
      </c>
      <c r="B176" s="442">
        <v>25.835000000000001</v>
      </c>
    </row>
    <row r="177" spans="1:2" x14ac:dyDescent="0.3">
      <c r="A177" s="129" t="s">
        <v>232</v>
      </c>
      <c r="B177" s="442">
        <v>25.85</v>
      </c>
    </row>
    <row r="178" spans="1:2" x14ac:dyDescent="0.3">
      <c r="A178" s="129" t="s">
        <v>233</v>
      </c>
      <c r="B178" s="442">
        <v>25.835000000000001</v>
      </c>
    </row>
    <row r="179" spans="1:2" x14ac:dyDescent="0.3">
      <c r="A179" s="129" t="s">
        <v>234</v>
      </c>
      <c r="B179" s="442">
        <v>25.855</v>
      </c>
    </row>
    <row r="180" spans="1:2" x14ac:dyDescent="0.3">
      <c r="A180" s="129" t="s">
        <v>235</v>
      </c>
      <c r="B180" s="442">
        <v>25.864999999999998</v>
      </c>
    </row>
    <row r="181" spans="1:2" x14ac:dyDescent="0.3">
      <c r="A181" s="129" t="s">
        <v>236</v>
      </c>
      <c r="B181" s="442">
        <v>25.864999999999998</v>
      </c>
    </row>
    <row r="182" spans="1:2" x14ac:dyDescent="0.3">
      <c r="A182" s="129" t="s">
        <v>237</v>
      </c>
      <c r="B182" s="442">
        <v>25.83</v>
      </c>
    </row>
    <row r="183" spans="1:2" x14ac:dyDescent="0.3">
      <c r="A183" s="129" t="s">
        <v>238</v>
      </c>
      <c r="B183" s="442">
        <v>25.844999999999999</v>
      </c>
    </row>
    <row r="184" spans="1:2" x14ac:dyDescent="0.3">
      <c r="A184" s="129" t="s">
        <v>239</v>
      </c>
      <c r="B184" s="442">
        <v>25.88</v>
      </c>
    </row>
    <row r="185" spans="1:2" x14ac:dyDescent="0.3">
      <c r="A185" s="129" t="s">
        <v>240</v>
      </c>
      <c r="B185" s="442">
        <v>25.914999999999999</v>
      </c>
    </row>
    <row r="186" spans="1:2" x14ac:dyDescent="0.3">
      <c r="A186" s="129" t="s">
        <v>241</v>
      </c>
      <c r="B186" s="442">
        <v>25.89</v>
      </c>
    </row>
    <row r="187" spans="1:2" x14ac:dyDescent="0.3">
      <c r="A187" s="129" t="s">
        <v>242</v>
      </c>
      <c r="B187" s="442">
        <v>25.895</v>
      </c>
    </row>
    <row r="188" spans="1:2" x14ac:dyDescent="0.3">
      <c r="A188" s="129" t="s">
        <v>243</v>
      </c>
      <c r="B188" s="442">
        <v>25.91</v>
      </c>
    </row>
    <row r="189" spans="1:2" x14ac:dyDescent="0.3">
      <c r="A189" s="129" t="s">
        <v>244</v>
      </c>
      <c r="B189" s="442">
        <v>25.89</v>
      </c>
    </row>
    <row r="190" spans="1:2" x14ac:dyDescent="0.3">
      <c r="A190" s="129" t="s">
        <v>245</v>
      </c>
      <c r="B190" s="442">
        <v>25.87</v>
      </c>
    </row>
    <row r="191" spans="1:2" x14ac:dyDescent="0.3">
      <c r="A191" s="129" t="s">
        <v>246</v>
      </c>
      <c r="B191" s="442">
        <v>25.86</v>
      </c>
    </row>
    <row r="192" spans="1:2" x14ac:dyDescent="0.3">
      <c r="A192" s="129" t="s">
        <v>247</v>
      </c>
      <c r="B192" s="442">
        <v>25.85</v>
      </c>
    </row>
    <row r="193" spans="1:2" x14ac:dyDescent="0.3">
      <c r="A193" s="129" t="s">
        <v>248</v>
      </c>
      <c r="B193" s="442">
        <v>25.84</v>
      </c>
    </row>
    <row r="194" spans="1:2" x14ac:dyDescent="0.3">
      <c r="A194" s="129" t="s">
        <v>249</v>
      </c>
      <c r="B194" s="442">
        <v>25.815000000000001</v>
      </c>
    </row>
    <row r="195" spans="1:2" x14ac:dyDescent="0.3">
      <c r="A195" s="129" t="s">
        <v>250</v>
      </c>
      <c r="B195" s="442">
        <v>25.74</v>
      </c>
    </row>
    <row r="196" spans="1:2" x14ac:dyDescent="0.3">
      <c r="A196" s="129" t="s">
        <v>251</v>
      </c>
      <c r="B196" s="442">
        <v>25.74</v>
      </c>
    </row>
    <row r="197" spans="1:2" x14ac:dyDescent="0.3">
      <c r="A197" s="129" t="s">
        <v>252</v>
      </c>
      <c r="B197" s="442">
        <v>25.74</v>
      </c>
    </row>
    <row r="198" spans="1:2" x14ac:dyDescent="0.3">
      <c r="A198" s="129" t="s">
        <v>253</v>
      </c>
      <c r="B198" s="442">
        <v>25.74</v>
      </c>
    </row>
    <row r="199" spans="1:2" x14ac:dyDescent="0.3">
      <c r="A199" s="129" t="s">
        <v>254</v>
      </c>
      <c r="B199" s="442">
        <v>25.78</v>
      </c>
    </row>
    <row r="200" spans="1:2" x14ac:dyDescent="0.3">
      <c r="A200" s="129" t="s">
        <v>255</v>
      </c>
      <c r="B200" s="442">
        <v>25.805</v>
      </c>
    </row>
    <row r="201" spans="1:2" x14ac:dyDescent="0.3">
      <c r="A201" s="129" t="s">
        <v>256</v>
      </c>
      <c r="B201" s="442">
        <v>25.824999999999999</v>
      </c>
    </row>
    <row r="202" spans="1:2" x14ac:dyDescent="0.3">
      <c r="A202" s="129" t="s">
        <v>257</v>
      </c>
      <c r="B202" s="442">
        <v>25.89</v>
      </c>
    </row>
    <row r="203" spans="1:2" x14ac:dyDescent="0.3">
      <c r="A203" s="129" t="s">
        <v>258</v>
      </c>
      <c r="B203" s="442">
        <v>25.81</v>
      </c>
    </row>
    <row r="204" spans="1:2" x14ac:dyDescent="0.3">
      <c r="A204" s="129" t="s">
        <v>259</v>
      </c>
      <c r="B204" s="442">
        <v>25.824999999999999</v>
      </c>
    </row>
    <row r="205" spans="1:2" x14ac:dyDescent="0.3">
      <c r="A205" s="129" t="s">
        <v>260</v>
      </c>
      <c r="B205" s="442">
        <v>25.82</v>
      </c>
    </row>
    <row r="206" spans="1:2" x14ac:dyDescent="0.3">
      <c r="A206" s="129" t="s">
        <v>261</v>
      </c>
      <c r="B206" s="442">
        <v>25.76</v>
      </c>
    </row>
    <row r="207" spans="1:2" x14ac:dyDescent="0.3">
      <c r="A207" s="129" t="s">
        <v>262</v>
      </c>
      <c r="B207" s="442">
        <v>25.67</v>
      </c>
    </row>
    <row r="208" spans="1:2" x14ac:dyDescent="0.3">
      <c r="A208" s="129" t="s">
        <v>263</v>
      </c>
      <c r="B208" s="442">
        <v>25.66</v>
      </c>
    </row>
    <row r="209" spans="1:2" x14ac:dyDescent="0.3">
      <c r="A209" s="129" t="s">
        <v>264</v>
      </c>
      <c r="B209" s="442">
        <v>25.63</v>
      </c>
    </row>
    <row r="210" spans="1:2" x14ac:dyDescent="0.3">
      <c r="A210" s="129" t="s">
        <v>265</v>
      </c>
      <c r="B210" s="442">
        <v>25.574999999999999</v>
      </c>
    </row>
    <row r="211" spans="1:2" x14ac:dyDescent="0.3">
      <c r="A211" s="129" t="s">
        <v>266</v>
      </c>
      <c r="B211" s="442">
        <v>25.635000000000002</v>
      </c>
    </row>
    <row r="212" spans="1:2" x14ac:dyDescent="0.3">
      <c r="A212" s="129" t="s">
        <v>267</v>
      </c>
      <c r="B212" s="442">
        <v>25.594999999999999</v>
      </c>
    </row>
    <row r="213" spans="1:2" x14ac:dyDescent="0.3">
      <c r="A213" s="129" t="s">
        <v>268</v>
      </c>
      <c r="B213" s="442">
        <v>25.57</v>
      </c>
    </row>
    <row r="214" spans="1:2" x14ac:dyDescent="0.3">
      <c r="A214" s="129" t="s">
        <v>269</v>
      </c>
      <c r="B214" s="442">
        <v>25.545000000000002</v>
      </c>
    </row>
    <row r="215" spans="1:2" x14ac:dyDescent="0.3">
      <c r="A215" s="129" t="s">
        <v>270</v>
      </c>
      <c r="B215" s="442">
        <v>25.51</v>
      </c>
    </row>
    <row r="216" spans="1:2" x14ac:dyDescent="0.3">
      <c r="A216" s="129" t="s">
        <v>271</v>
      </c>
      <c r="B216" s="442">
        <v>25.51</v>
      </c>
    </row>
    <row r="217" spans="1:2" x14ac:dyDescent="0.3">
      <c r="A217" s="129" t="s">
        <v>272</v>
      </c>
      <c r="B217" s="442">
        <v>25.515000000000001</v>
      </c>
    </row>
    <row r="218" spans="1:2" x14ac:dyDescent="0.3">
      <c r="A218" s="129" t="s">
        <v>273</v>
      </c>
      <c r="B218" s="442">
        <v>25.515000000000001</v>
      </c>
    </row>
    <row r="219" spans="1:2" x14ac:dyDescent="0.3">
      <c r="A219" s="129" t="s">
        <v>274</v>
      </c>
      <c r="B219" s="442">
        <v>25.535</v>
      </c>
    </row>
    <row r="220" spans="1:2" x14ac:dyDescent="0.3">
      <c r="A220" s="129" t="s">
        <v>275</v>
      </c>
      <c r="B220" s="442">
        <v>25.5</v>
      </c>
    </row>
    <row r="221" spans="1:2" x14ac:dyDescent="0.3">
      <c r="A221" s="129" t="s">
        <v>276</v>
      </c>
      <c r="B221" s="442">
        <v>25.53</v>
      </c>
    </row>
    <row r="222" spans="1:2" x14ac:dyDescent="0.3">
      <c r="A222" s="129" t="s">
        <v>277</v>
      </c>
      <c r="B222" s="442">
        <v>25.484999999999999</v>
      </c>
    </row>
    <row r="223" spans="1:2" x14ac:dyDescent="0.3">
      <c r="A223" s="129" t="s">
        <v>278</v>
      </c>
      <c r="B223" s="442">
        <v>25.51</v>
      </c>
    </row>
    <row r="224" spans="1:2" x14ac:dyDescent="0.3">
      <c r="A224" s="129" t="s">
        <v>279</v>
      </c>
      <c r="B224" s="442">
        <v>25.5</v>
      </c>
    </row>
    <row r="225" spans="1:2" x14ac:dyDescent="0.3">
      <c r="A225" s="129" t="s">
        <v>280</v>
      </c>
      <c r="B225" s="442">
        <v>25.59</v>
      </c>
    </row>
    <row r="226" spans="1:2" x14ac:dyDescent="0.3">
      <c r="A226" s="129" t="s">
        <v>281</v>
      </c>
      <c r="B226" s="442">
        <v>25.56</v>
      </c>
    </row>
    <row r="227" spans="1:2" x14ac:dyDescent="0.3">
      <c r="A227" s="129" t="s">
        <v>282</v>
      </c>
      <c r="B227" s="442">
        <v>25.58</v>
      </c>
    </row>
    <row r="228" spans="1:2" x14ac:dyDescent="0.3">
      <c r="A228" s="129" t="s">
        <v>283</v>
      </c>
      <c r="B228" s="442">
        <v>25.59</v>
      </c>
    </row>
    <row r="229" spans="1:2" x14ac:dyDescent="0.3">
      <c r="A229" s="129" t="s">
        <v>284</v>
      </c>
      <c r="B229" s="442">
        <v>25.565000000000001</v>
      </c>
    </row>
    <row r="230" spans="1:2" x14ac:dyDescent="0.3">
      <c r="A230" s="129" t="s">
        <v>285</v>
      </c>
      <c r="B230" s="442">
        <v>25.535</v>
      </c>
    </row>
    <row r="231" spans="1:2" x14ac:dyDescent="0.3">
      <c r="A231" s="129" t="s">
        <v>286</v>
      </c>
      <c r="B231" s="442">
        <v>25.52</v>
      </c>
    </row>
    <row r="232" spans="1:2" x14ac:dyDescent="0.3">
      <c r="A232" s="129" t="s">
        <v>287</v>
      </c>
      <c r="B232" s="442">
        <v>25.51</v>
      </c>
    </row>
    <row r="233" spans="1:2" x14ac:dyDescent="0.3">
      <c r="A233" s="129" t="s">
        <v>288</v>
      </c>
      <c r="B233" s="442">
        <v>25.484999999999999</v>
      </c>
    </row>
    <row r="234" spans="1:2" x14ac:dyDescent="0.3">
      <c r="A234" s="129" t="s">
        <v>289</v>
      </c>
      <c r="B234" s="442">
        <v>25.504999999999999</v>
      </c>
    </row>
    <row r="235" spans="1:2" x14ac:dyDescent="0.3">
      <c r="A235" s="129" t="s">
        <v>290</v>
      </c>
      <c r="B235" s="442">
        <v>25.515000000000001</v>
      </c>
    </row>
    <row r="236" spans="1:2" x14ac:dyDescent="0.3">
      <c r="A236" s="129" t="s">
        <v>291</v>
      </c>
      <c r="B236" s="442">
        <v>25.574999999999999</v>
      </c>
    </row>
    <row r="237" spans="1:2" x14ac:dyDescent="0.3">
      <c r="A237" s="129" t="s">
        <v>292</v>
      </c>
      <c r="B237" s="442">
        <v>25.515000000000001</v>
      </c>
    </row>
    <row r="238" spans="1:2" x14ac:dyDescent="0.3">
      <c r="A238" s="385" t="s">
        <v>293</v>
      </c>
      <c r="B238" s="442">
        <v>25.52</v>
      </c>
    </row>
    <row r="239" spans="1:2" x14ac:dyDescent="0.3">
      <c r="A239" s="129" t="s">
        <v>294</v>
      </c>
      <c r="B239" s="442">
        <v>25.535</v>
      </c>
    </row>
    <row r="240" spans="1:2" x14ac:dyDescent="0.3">
      <c r="A240" s="129" t="s">
        <v>295</v>
      </c>
      <c r="B240" s="442">
        <v>25.524999999999999</v>
      </c>
    </row>
    <row r="241" spans="1:2" x14ac:dyDescent="0.3">
      <c r="A241" s="129" t="s">
        <v>296</v>
      </c>
      <c r="B241" s="442">
        <v>25.52</v>
      </c>
    </row>
    <row r="242" spans="1:2" x14ac:dyDescent="0.3">
      <c r="A242" s="129" t="s">
        <v>297</v>
      </c>
      <c r="B242" s="442">
        <v>25.524999999999999</v>
      </c>
    </row>
    <row r="243" spans="1:2" x14ac:dyDescent="0.3">
      <c r="A243" s="129" t="s">
        <v>298</v>
      </c>
      <c r="B243" s="442">
        <v>25.535</v>
      </c>
    </row>
    <row r="244" spans="1:2" x14ac:dyDescent="0.3">
      <c r="A244" s="129" t="s">
        <v>299</v>
      </c>
      <c r="B244" s="442">
        <v>25.524999999999999</v>
      </c>
    </row>
    <row r="245" spans="1:2" x14ac:dyDescent="0.3">
      <c r="A245" s="129" t="s">
        <v>300</v>
      </c>
      <c r="B245" s="442">
        <v>25.524999999999999</v>
      </c>
    </row>
    <row r="246" spans="1:2" x14ac:dyDescent="0.3">
      <c r="A246" s="129" t="s">
        <v>301</v>
      </c>
      <c r="B246" s="442">
        <v>25.52</v>
      </c>
    </row>
    <row r="247" spans="1:2" x14ac:dyDescent="0.3">
      <c r="A247" s="129" t="s">
        <v>302</v>
      </c>
      <c r="B247" s="442">
        <v>25.52</v>
      </c>
    </row>
    <row r="248" spans="1:2" x14ac:dyDescent="0.3">
      <c r="A248" s="129" t="s">
        <v>303</v>
      </c>
      <c r="B248" s="442">
        <v>25.51</v>
      </c>
    </row>
    <row r="249" spans="1:2" x14ac:dyDescent="0.3">
      <c r="A249" s="129" t="s">
        <v>304</v>
      </c>
      <c r="B249" s="442">
        <v>25.484999999999999</v>
      </c>
    </row>
    <row r="250" spans="1:2" x14ac:dyDescent="0.3">
      <c r="A250" s="129" t="s">
        <v>305</v>
      </c>
      <c r="B250" s="442">
        <v>25.45</v>
      </c>
    </row>
    <row r="251" spans="1:2" x14ac:dyDescent="0.3">
      <c r="A251" s="129" t="s">
        <v>306</v>
      </c>
      <c r="B251" s="442">
        <v>25.49</v>
      </c>
    </row>
    <row r="252" spans="1:2" x14ac:dyDescent="0.3">
      <c r="A252" s="129" t="s">
        <v>307</v>
      </c>
      <c r="B252" s="442">
        <v>25.475000000000001</v>
      </c>
    </row>
    <row r="253" spans="1:2" x14ac:dyDescent="0.3">
      <c r="A253" s="129" t="s">
        <v>308</v>
      </c>
      <c r="B253" s="442">
        <v>25.445</v>
      </c>
    </row>
    <row r="254" spans="1:2" x14ac:dyDescent="0.3">
      <c r="A254" s="129" t="s">
        <v>309</v>
      </c>
      <c r="B254" s="442">
        <v>25.5</v>
      </c>
    </row>
    <row r="255" spans="1:2" x14ac:dyDescent="0.3">
      <c r="A255" s="129" t="s">
        <v>310</v>
      </c>
      <c r="B255" s="442">
        <v>25.51</v>
      </c>
    </row>
    <row r="256" spans="1:2" x14ac:dyDescent="0.3">
      <c r="A256" s="129">
        <v>43829</v>
      </c>
      <c r="B256" s="442">
        <v>25.46</v>
      </c>
    </row>
    <row r="257" spans="1:2" x14ac:dyDescent="0.3">
      <c r="A257" s="385" t="s">
        <v>311</v>
      </c>
      <c r="B257" s="442">
        <v>25.41</v>
      </c>
    </row>
    <row r="258" spans="1:2" x14ac:dyDescent="0.3">
      <c r="A258" s="129" t="s">
        <v>312</v>
      </c>
      <c r="B258" s="442">
        <v>25.41</v>
      </c>
    </row>
    <row r="259" spans="1:2" x14ac:dyDescent="0.3">
      <c r="A259" s="386">
        <v>43832</v>
      </c>
      <c r="B259" s="442">
        <v>25.41</v>
      </c>
    </row>
    <row r="260" spans="1:2" x14ac:dyDescent="0.3">
      <c r="A260" s="129" t="s">
        <v>313</v>
      </c>
      <c r="B260" s="442">
        <v>25.36</v>
      </c>
    </row>
    <row r="261" spans="1:2" x14ac:dyDescent="0.3">
      <c r="A261" s="129" t="s">
        <v>314</v>
      </c>
      <c r="B261" s="442">
        <v>25.3</v>
      </c>
    </row>
    <row r="262" spans="1:2" x14ac:dyDescent="0.3">
      <c r="A262" s="129" t="s">
        <v>315</v>
      </c>
      <c r="B262" s="442">
        <v>25.274999999999999</v>
      </c>
    </row>
    <row r="263" spans="1:2" x14ac:dyDescent="0.3">
      <c r="A263" s="129" t="s">
        <v>316</v>
      </c>
      <c r="B263" s="442">
        <v>25.265000000000001</v>
      </c>
    </row>
    <row r="264" spans="1:2" x14ac:dyDescent="0.3">
      <c r="A264" s="129" t="s">
        <v>317</v>
      </c>
      <c r="B264" s="442">
        <v>25.254999999999999</v>
      </c>
    </row>
    <row r="265" spans="1:2" x14ac:dyDescent="0.3">
      <c r="A265" s="129" t="s">
        <v>318</v>
      </c>
      <c r="B265" s="442">
        <v>25.265000000000001</v>
      </c>
    </row>
    <row r="266" spans="1:2" x14ac:dyDescent="0.3">
      <c r="A266" s="129">
        <v>43842</v>
      </c>
      <c r="B266" s="442">
        <v>25.265000000000001</v>
      </c>
    </row>
    <row r="267" spans="1:2" x14ac:dyDescent="0.3">
      <c r="A267" s="129" t="s">
        <v>319</v>
      </c>
      <c r="B267" s="442">
        <v>25.23</v>
      </c>
    </row>
    <row r="268" spans="1:2" x14ac:dyDescent="0.3">
      <c r="A268" s="129">
        <v>43844</v>
      </c>
      <c r="B268" s="442">
        <v>25.155000000000001</v>
      </c>
    </row>
    <row r="269" spans="1:2" x14ac:dyDescent="0.3">
      <c r="A269" s="129">
        <v>43845</v>
      </c>
      <c r="B269" s="442">
        <v>25.145</v>
      </c>
    </row>
    <row r="270" spans="1:2" x14ac:dyDescent="0.3">
      <c r="A270" s="386">
        <v>43846</v>
      </c>
      <c r="B270" s="442">
        <v>25.17</v>
      </c>
    </row>
    <row r="271" spans="1:2" x14ac:dyDescent="0.3">
      <c r="A271" s="386">
        <v>43847</v>
      </c>
      <c r="B271" s="442">
        <v>25.145</v>
      </c>
    </row>
    <row r="272" spans="1:2" x14ac:dyDescent="0.3">
      <c r="A272" s="129">
        <v>43850</v>
      </c>
      <c r="B272" s="442">
        <v>25.125</v>
      </c>
    </row>
    <row r="273" spans="1:2" x14ac:dyDescent="0.3">
      <c r="A273" s="129" t="s">
        <v>320</v>
      </c>
      <c r="B273" s="442">
        <v>25.065000000000001</v>
      </c>
    </row>
    <row r="274" spans="1:2" x14ac:dyDescent="0.3">
      <c r="A274" s="129" t="s">
        <v>321</v>
      </c>
      <c r="B274" s="442">
        <v>25.135000000000002</v>
      </c>
    </row>
    <row r="275" spans="1:2" x14ac:dyDescent="0.3">
      <c r="A275" s="386">
        <v>43853</v>
      </c>
      <c r="B275" s="442">
        <v>25.16</v>
      </c>
    </row>
    <row r="276" spans="1:2" x14ac:dyDescent="0.3">
      <c r="A276" s="129">
        <v>43854</v>
      </c>
      <c r="B276" s="442">
        <v>25.16</v>
      </c>
    </row>
    <row r="277" spans="1:2" x14ac:dyDescent="0.3">
      <c r="A277" s="129" t="s">
        <v>322</v>
      </c>
      <c r="B277" s="442">
        <v>25.23</v>
      </c>
    </row>
    <row r="278" spans="1:2" x14ac:dyDescent="0.3">
      <c r="A278" s="386">
        <v>43858</v>
      </c>
      <c r="B278" s="442">
        <v>25.22</v>
      </c>
    </row>
    <row r="279" spans="1:2" x14ac:dyDescent="0.3">
      <c r="A279" s="129" t="s">
        <v>323</v>
      </c>
      <c r="B279" s="442">
        <v>25.204999999999998</v>
      </c>
    </row>
    <row r="280" spans="1:2" x14ac:dyDescent="0.3">
      <c r="A280" s="129" t="s">
        <v>324</v>
      </c>
      <c r="B280" s="442">
        <v>25.25</v>
      </c>
    </row>
    <row r="281" spans="1:2" x14ac:dyDescent="0.3">
      <c r="A281" s="386">
        <v>43861</v>
      </c>
      <c r="B281" s="442">
        <v>25.21</v>
      </c>
    </row>
    <row r="282" spans="1:2" x14ac:dyDescent="0.3">
      <c r="A282" s="129">
        <v>43862</v>
      </c>
      <c r="B282" s="442">
        <v>25.21</v>
      </c>
    </row>
    <row r="283" spans="1:2" x14ac:dyDescent="0.3">
      <c r="A283" s="386">
        <v>43864</v>
      </c>
      <c r="B283" s="442">
        <v>25.175000000000001</v>
      </c>
    </row>
    <row r="284" spans="1:2" x14ac:dyDescent="0.3">
      <c r="A284" s="386">
        <v>43865</v>
      </c>
      <c r="B284" s="442">
        <v>25.145</v>
      </c>
    </row>
    <row r="285" spans="1:2" x14ac:dyDescent="0.3">
      <c r="A285" s="386">
        <v>43866</v>
      </c>
      <c r="B285" s="442">
        <v>25.05</v>
      </c>
    </row>
    <row r="286" spans="1:2" x14ac:dyDescent="0.3">
      <c r="A286" s="129" t="s">
        <v>325</v>
      </c>
      <c r="B286" s="442">
        <v>24.895</v>
      </c>
    </row>
    <row r="287" spans="1:2" x14ac:dyDescent="0.3">
      <c r="A287" s="129" t="s">
        <v>326</v>
      </c>
      <c r="B287" s="442">
        <v>25.03</v>
      </c>
    </row>
    <row r="288" spans="1:2" x14ac:dyDescent="0.3">
      <c r="A288" s="386">
        <v>43870</v>
      </c>
      <c r="B288" s="442">
        <v>25.03</v>
      </c>
    </row>
    <row r="289" spans="1:2" x14ac:dyDescent="0.3">
      <c r="A289" s="129" t="s">
        <v>327</v>
      </c>
      <c r="B289" s="442">
        <v>25.024999999999999</v>
      </c>
    </row>
    <row r="290" spans="1:2" x14ac:dyDescent="0.3">
      <c r="A290" s="129" t="s">
        <v>328</v>
      </c>
      <c r="B290" s="442">
        <v>24.965</v>
      </c>
    </row>
    <row r="291" spans="1:2" x14ac:dyDescent="0.3">
      <c r="A291" s="129" t="s">
        <v>329</v>
      </c>
      <c r="B291" s="442">
        <v>24.875</v>
      </c>
    </row>
    <row r="292" spans="1:2" x14ac:dyDescent="0.3">
      <c r="A292" s="129" t="s">
        <v>330</v>
      </c>
      <c r="B292" s="442">
        <v>24.835000000000001</v>
      </c>
    </row>
    <row r="293" spans="1:2" x14ac:dyDescent="0.3">
      <c r="A293" s="129" t="s">
        <v>331</v>
      </c>
      <c r="B293" s="442">
        <v>24.824999999999999</v>
      </c>
    </row>
    <row r="294" spans="1:2" x14ac:dyDescent="0.3">
      <c r="A294" s="129" t="s">
        <v>332</v>
      </c>
      <c r="B294" s="442">
        <v>24.795000000000002</v>
      </c>
    </row>
    <row r="295" spans="1:2" x14ac:dyDescent="0.3">
      <c r="A295" s="129" t="s">
        <v>333</v>
      </c>
      <c r="B295" s="442">
        <v>24.9</v>
      </c>
    </row>
    <row r="296" spans="1:2" x14ac:dyDescent="0.3">
      <c r="A296" s="386">
        <v>43880</v>
      </c>
      <c r="B296" s="442">
        <v>24.96</v>
      </c>
    </row>
    <row r="297" spans="1:2" x14ac:dyDescent="0.3">
      <c r="A297" s="129" t="s">
        <v>334</v>
      </c>
      <c r="B297" s="442">
        <v>25.035</v>
      </c>
    </row>
    <row r="298" spans="1:2" x14ac:dyDescent="0.3">
      <c r="A298" s="129" t="s">
        <v>335</v>
      </c>
      <c r="B298" s="442">
        <v>25.06</v>
      </c>
    </row>
    <row r="299" spans="1:2" x14ac:dyDescent="0.3">
      <c r="A299" s="129" t="s">
        <v>336</v>
      </c>
      <c r="B299" s="442">
        <v>25.19</v>
      </c>
    </row>
    <row r="300" spans="1:2" x14ac:dyDescent="0.3">
      <c r="A300" s="129" t="s">
        <v>337</v>
      </c>
      <c r="B300" s="442">
        <v>25.225000000000001</v>
      </c>
    </row>
    <row r="301" spans="1:2" x14ac:dyDescent="0.3">
      <c r="A301" s="129" t="s">
        <v>338</v>
      </c>
      <c r="B301" s="442">
        <v>25.344999999999999</v>
      </c>
    </row>
    <row r="302" spans="1:2" x14ac:dyDescent="0.3">
      <c r="A302" s="129" t="s">
        <v>339</v>
      </c>
      <c r="B302" s="442">
        <v>25.285</v>
      </c>
    </row>
    <row r="303" spans="1:2" x14ac:dyDescent="0.3">
      <c r="A303" s="129" t="s">
        <v>340</v>
      </c>
      <c r="B303" s="442">
        <v>25.39</v>
      </c>
    </row>
    <row r="304" spans="1:2" x14ac:dyDescent="0.3">
      <c r="A304" s="386">
        <v>43890</v>
      </c>
      <c r="B304" s="442">
        <v>25.39</v>
      </c>
    </row>
    <row r="305" spans="1:2" x14ac:dyDescent="0.3">
      <c r="A305" s="387">
        <v>43891</v>
      </c>
      <c r="B305" s="442">
        <v>25.39</v>
      </c>
    </row>
    <row r="306" spans="1:2" x14ac:dyDescent="0.3">
      <c r="A306" s="129" t="s">
        <v>341</v>
      </c>
      <c r="B306" s="442">
        <v>25.524999999999999</v>
      </c>
    </row>
    <row r="307" spans="1:2" x14ac:dyDescent="0.3">
      <c r="A307" s="129" t="s">
        <v>342</v>
      </c>
      <c r="B307" s="442">
        <v>25.475000000000001</v>
      </c>
    </row>
    <row r="308" spans="1:2" x14ac:dyDescent="0.3">
      <c r="A308" s="386">
        <v>43894</v>
      </c>
      <c r="B308" s="442">
        <v>25.34</v>
      </c>
    </row>
    <row r="309" spans="1:2" x14ac:dyDescent="0.3">
      <c r="A309" s="129" t="s">
        <v>343</v>
      </c>
      <c r="B309" s="442">
        <v>25.355</v>
      </c>
    </row>
    <row r="310" spans="1:2" x14ac:dyDescent="0.3">
      <c r="A310" s="386">
        <v>43896</v>
      </c>
      <c r="B310" s="442">
        <v>25.46</v>
      </c>
    </row>
    <row r="311" spans="1:2" x14ac:dyDescent="0.3">
      <c r="A311" s="129" t="s">
        <v>344</v>
      </c>
      <c r="B311" s="442">
        <v>25.504999999999999</v>
      </c>
    </row>
    <row r="312" spans="1:2" x14ac:dyDescent="0.3">
      <c r="A312" s="129" t="s">
        <v>345</v>
      </c>
      <c r="B312" s="442">
        <v>25.715</v>
      </c>
    </row>
    <row r="313" spans="1:2" x14ac:dyDescent="0.3">
      <c r="A313" s="129" t="s">
        <v>346</v>
      </c>
      <c r="B313" s="442">
        <v>25.77</v>
      </c>
    </row>
    <row r="314" spans="1:2" x14ac:dyDescent="0.3">
      <c r="A314" s="129" t="s">
        <v>347</v>
      </c>
      <c r="B314" s="442">
        <v>26.2</v>
      </c>
    </row>
    <row r="315" spans="1:2" x14ac:dyDescent="0.3">
      <c r="A315" s="129" t="s">
        <v>348</v>
      </c>
      <c r="B315" s="442">
        <v>26.04</v>
      </c>
    </row>
    <row r="316" spans="1:2" x14ac:dyDescent="0.3">
      <c r="A316" s="386">
        <v>43905</v>
      </c>
      <c r="B316" s="442">
        <v>26.04</v>
      </c>
    </row>
    <row r="317" spans="1:2" x14ac:dyDescent="0.3">
      <c r="A317" s="129" t="s">
        <v>349</v>
      </c>
      <c r="B317" s="442">
        <v>26.96</v>
      </c>
    </row>
    <row r="318" spans="1:2" x14ac:dyDescent="0.3">
      <c r="A318" s="129" t="s">
        <v>350</v>
      </c>
      <c r="B318" s="442">
        <v>26.98</v>
      </c>
    </row>
    <row r="319" spans="1:2" x14ac:dyDescent="0.3">
      <c r="A319" s="386">
        <v>43908</v>
      </c>
      <c r="B319" s="442">
        <v>27.16</v>
      </c>
    </row>
    <row r="320" spans="1:2" x14ac:dyDescent="0.3">
      <c r="A320" s="129" t="s">
        <v>351</v>
      </c>
      <c r="B320" s="442">
        <v>27.605</v>
      </c>
    </row>
    <row r="321" spans="1:2" x14ac:dyDescent="0.3">
      <c r="A321" s="386">
        <v>43910</v>
      </c>
      <c r="B321" s="442">
        <v>27.19</v>
      </c>
    </row>
    <row r="322" spans="1:2" x14ac:dyDescent="0.3">
      <c r="A322" s="386">
        <v>43913</v>
      </c>
      <c r="B322" s="442">
        <v>27.635000000000002</v>
      </c>
    </row>
    <row r="323" spans="1:2" x14ac:dyDescent="0.3">
      <c r="A323" s="129" t="s">
        <v>352</v>
      </c>
      <c r="B323" s="442">
        <v>27.81</v>
      </c>
    </row>
    <row r="324" spans="1:2" x14ac:dyDescent="0.3">
      <c r="A324" s="129" t="s">
        <v>353</v>
      </c>
      <c r="B324" s="442">
        <v>27.44</v>
      </c>
    </row>
    <row r="325" spans="1:2" x14ac:dyDescent="0.3">
      <c r="A325" s="129" t="s">
        <v>354</v>
      </c>
      <c r="B325" s="442">
        <v>27.55</v>
      </c>
    </row>
    <row r="326" spans="1:2" x14ac:dyDescent="0.3">
      <c r="A326" s="129" t="s">
        <v>355</v>
      </c>
      <c r="B326" s="442">
        <v>27.3</v>
      </c>
    </row>
    <row r="327" spans="1:2" x14ac:dyDescent="0.3">
      <c r="A327" s="129" t="s">
        <v>356</v>
      </c>
      <c r="B327" s="442">
        <v>27.315000000000001</v>
      </c>
    </row>
    <row r="328" spans="1:2" x14ac:dyDescent="0.3">
      <c r="A328" s="386">
        <v>43921</v>
      </c>
      <c r="B328" s="442">
        <v>27.324999999999999</v>
      </c>
    </row>
    <row r="329" spans="1:2" x14ac:dyDescent="0.3">
      <c r="A329" s="386">
        <v>43922</v>
      </c>
      <c r="B329" s="442">
        <v>27.38</v>
      </c>
    </row>
    <row r="330" spans="1:2" x14ac:dyDescent="0.3">
      <c r="A330" s="386">
        <v>43923</v>
      </c>
      <c r="B330" s="442">
        <v>27.555</v>
      </c>
    </row>
    <row r="331" spans="1:2" x14ac:dyDescent="0.3">
      <c r="A331" s="129" t="s">
        <v>357</v>
      </c>
      <c r="B331" s="442">
        <v>27.54</v>
      </c>
    </row>
    <row r="332" spans="1:2" x14ac:dyDescent="0.3">
      <c r="A332" s="129" t="s">
        <v>358</v>
      </c>
      <c r="B332" s="442">
        <v>27.594999999999999</v>
      </c>
    </row>
    <row r="333" spans="1:2" x14ac:dyDescent="0.3">
      <c r="A333" s="386">
        <v>43928</v>
      </c>
      <c r="B333" s="442">
        <v>27.215</v>
      </c>
    </row>
    <row r="334" spans="1:2" x14ac:dyDescent="0.3">
      <c r="A334" s="129" t="s">
        <v>359</v>
      </c>
      <c r="B334" s="442">
        <v>27.2</v>
      </c>
    </row>
    <row r="335" spans="1:2" x14ac:dyDescent="0.3">
      <c r="A335" s="386">
        <v>43930</v>
      </c>
      <c r="B335" s="442">
        <v>26.905000000000001</v>
      </c>
    </row>
    <row r="336" spans="1:2" x14ac:dyDescent="0.3">
      <c r="A336" s="386">
        <v>43932</v>
      </c>
      <c r="B336" s="442">
        <v>26.905000000000001</v>
      </c>
    </row>
    <row r="337" spans="1:2" x14ac:dyDescent="0.3">
      <c r="A337" s="386">
        <v>43934</v>
      </c>
      <c r="B337" s="442">
        <v>26.905000000000001</v>
      </c>
    </row>
    <row r="338" spans="1:2" x14ac:dyDescent="0.3">
      <c r="A338" s="129" t="s">
        <v>360</v>
      </c>
      <c r="B338" s="442">
        <v>26.855</v>
      </c>
    </row>
    <row r="339" spans="1:2" x14ac:dyDescent="0.3">
      <c r="A339" s="386">
        <v>43936</v>
      </c>
      <c r="B339" s="442">
        <v>26.99</v>
      </c>
    </row>
    <row r="340" spans="1:2" x14ac:dyDescent="0.3">
      <c r="A340" s="386">
        <v>43937</v>
      </c>
      <c r="B340" s="442">
        <v>27.055</v>
      </c>
    </row>
    <row r="341" spans="1:2" x14ac:dyDescent="0.3">
      <c r="A341" s="129" t="s">
        <v>361</v>
      </c>
      <c r="B341" s="442">
        <v>27.164999999999999</v>
      </c>
    </row>
    <row r="342" spans="1:2" x14ac:dyDescent="0.3">
      <c r="A342" s="129" t="s">
        <v>362</v>
      </c>
      <c r="B342" s="442">
        <v>27.324999999999999</v>
      </c>
    </row>
    <row r="343" spans="1:2" x14ac:dyDescent="0.3">
      <c r="A343" s="129" t="s">
        <v>363</v>
      </c>
      <c r="B343" s="442">
        <v>27.45</v>
      </c>
    </row>
    <row r="344" spans="1:2" x14ac:dyDescent="0.3">
      <c r="A344" s="129" t="s">
        <v>364</v>
      </c>
      <c r="B344" s="442">
        <v>27.53</v>
      </c>
    </row>
    <row r="345" spans="1:2" x14ac:dyDescent="0.3">
      <c r="A345" s="129" t="s">
        <v>365</v>
      </c>
      <c r="B345" s="442">
        <v>27.55</v>
      </c>
    </row>
    <row r="346" spans="1:2" x14ac:dyDescent="0.3">
      <c r="A346" s="386">
        <v>43945</v>
      </c>
      <c r="B346" s="442">
        <v>27.31</v>
      </c>
    </row>
    <row r="347" spans="1:2" x14ac:dyDescent="0.3">
      <c r="A347" s="129" t="s">
        <v>366</v>
      </c>
      <c r="B347" s="442">
        <v>27.184999999999999</v>
      </c>
    </row>
    <row r="348" spans="1:2" x14ac:dyDescent="0.3">
      <c r="A348" s="129" t="s">
        <v>367</v>
      </c>
      <c r="B348" s="442">
        <v>27.225000000000001</v>
      </c>
    </row>
    <row r="349" spans="1:2" x14ac:dyDescent="0.3">
      <c r="A349" s="129" t="s">
        <v>368</v>
      </c>
      <c r="B349" s="442">
        <v>27.125</v>
      </c>
    </row>
    <row r="350" spans="1:2" x14ac:dyDescent="0.3">
      <c r="A350" s="386">
        <v>43951</v>
      </c>
      <c r="B350" s="442">
        <v>27.094999999999999</v>
      </c>
    </row>
    <row r="351" spans="1:2" x14ac:dyDescent="0.3">
      <c r="A351" s="129">
        <v>43952</v>
      </c>
      <c r="B351" s="442">
        <v>27.094999999999999</v>
      </c>
    </row>
    <row r="352" spans="1:2" x14ac:dyDescent="0.3">
      <c r="A352" s="129" t="s">
        <v>369</v>
      </c>
      <c r="B352" s="442">
        <v>27.12</v>
      </c>
    </row>
    <row r="353" spans="1:2" x14ac:dyDescent="0.3">
      <c r="A353" s="386">
        <v>43956</v>
      </c>
      <c r="B353" s="442">
        <v>26.984999999999999</v>
      </c>
    </row>
    <row r="354" spans="1:2" x14ac:dyDescent="0.3">
      <c r="A354" s="129" t="s">
        <v>370</v>
      </c>
      <c r="B354" s="442">
        <v>26.984999999999999</v>
      </c>
    </row>
    <row r="355" spans="1:2" x14ac:dyDescent="0.3">
      <c r="A355" s="386">
        <v>43958</v>
      </c>
      <c r="B355" s="442">
        <v>27.145</v>
      </c>
    </row>
    <row r="356" spans="1:2" x14ac:dyDescent="0.3">
      <c r="A356" s="129" t="s">
        <v>371</v>
      </c>
      <c r="B356" s="442">
        <v>27.594999999999999</v>
      </c>
    </row>
    <row r="357" spans="1:2" x14ac:dyDescent="0.3">
      <c r="A357" s="386">
        <v>43963</v>
      </c>
      <c r="B357" s="442">
        <v>27.42</v>
      </c>
    </row>
    <row r="358" spans="1:2" x14ac:dyDescent="0.3">
      <c r="A358" s="129" t="s">
        <v>372</v>
      </c>
      <c r="B358" s="442">
        <v>27.41</v>
      </c>
    </row>
    <row r="359" spans="1:2" x14ac:dyDescent="0.3">
      <c r="A359" s="129" t="s">
        <v>373</v>
      </c>
      <c r="B359" s="442">
        <v>27.57</v>
      </c>
    </row>
    <row r="360" spans="1:2" x14ac:dyDescent="0.3">
      <c r="A360" s="386">
        <v>43966</v>
      </c>
      <c r="B360" s="442">
        <v>27.59</v>
      </c>
    </row>
    <row r="361" spans="1:2" x14ac:dyDescent="0.3">
      <c r="A361" s="129" t="s">
        <v>374</v>
      </c>
      <c r="B361" s="442">
        <v>27.61</v>
      </c>
    </row>
    <row r="362" spans="1:2" x14ac:dyDescent="0.3">
      <c r="A362" s="129" t="s">
        <v>375</v>
      </c>
      <c r="B362" s="442">
        <v>27.49</v>
      </c>
    </row>
    <row r="363" spans="1:2" x14ac:dyDescent="0.3">
      <c r="A363" s="129" t="s">
        <v>376</v>
      </c>
      <c r="B363" s="442">
        <v>27.43</v>
      </c>
    </row>
    <row r="364" spans="1:2" x14ac:dyDescent="0.3">
      <c r="A364" s="129" t="s">
        <v>377</v>
      </c>
      <c r="B364" s="442">
        <v>27.215</v>
      </c>
    </row>
    <row r="365" spans="1:2" x14ac:dyDescent="0.3">
      <c r="A365" s="129" t="s">
        <v>378</v>
      </c>
      <c r="B365" s="442">
        <v>27.21</v>
      </c>
    </row>
    <row r="366" spans="1:2" x14ac:dyDescent="0.3">
      <c r="A366" s="129" t="s">
        <v>379</v>
      </c>
      <c r="B366" s="442">
        <v>27.274999999999999</v>
      </c>
    </row>
    <row r="367" spans="1:2" x14ac:dyDescent="0.3">
      <c r="A367" s="386">
        <v>43977</v>
      </c>
      <c r="B367" s="442">
        <v>27.07</v>
      </c>
    </row>
    <row r="368" spans="1:2" x14ac:dyDescent="0.3">
      <c r="A368" s="129" t="s">
        <v>380</v>
      </c>
      <c r="B368" s="442">
        <v>27.05</v>
      </c>
    </row>
    <row r="369" spans="1:2" x14ac:dyDescent="0.3">
      <c r="A369" s="129" t="s">
        <v>381</v>
      </c>
      <c r="B369" s="442">
        <v>27.015000000000001</v>
      </c>
    </row>
    <row r="370" spans="1:2" x14ac:dyDescent="0.3">
      <c r="A370" s="386">
        <v>43980</v>
      </c>
      <c r="B370" s="442">
        <v>26.914999999999999</v>
      </c>
    </row>
    <row r="371" spans="1:2" x14ac:dyDescent="0.3">
      <c r="A371" s="386">
        <v>43982</v>
      </c>
      <c r="B371" s="442">
        <v>26.914999999999999</v>
      </c>
    </row>
    <row r="372" spans="1:2" x14ac:dyDescent="0.3">
      <c r="A372" s="386">
        <v>43983</v>
      </c>
      <c r="B372" s="442">
        <v>26.86</v>
      </c>
    </row>
    <row r="373" spans="1:2" x14ac:dyDescent="0.3">
      <c r="A373" s="129" t="s">
        <v>382</v>
      </c>
      <c r="B373" s="442">
        <v>26.65</v>
      </c>
    </row>
    <row r="374" spans="1:2" x14ac:dyDescent="0.3">
      <c r="A374" s="129" t="s">
        <v>383</v>
      </c>
      <c r="B374" s="442">
        <v>26.66</v>
      </c>
    </row>
    <row r="375" spans="1:2" x14ac:dyDescent="0.3">
      <c r="A375" s="129" t="s">
        <v>384</v>
      </c>
      <c r="B375" s="442">
        <v>26.62</v>
      </c>
    </row>
    <row r="376" spans="1:2" x14ac:dyDescent="0.3">
      <c r="A376" s="129" t="s">
        <v>385</v>
      </c>
      <c r="B376" s="442">
        <v>26.59</v>
      </c>
    </row>
    <row r="377" spans="1:2" x14ac:dyDescent="0.3">
      <c r="A377" s="129" t="s">
        <v>386</v>
      </c>
      <c r="B377" s="442">
        <v>26.585000000000001</v>
      </c>
    </row>
    <row r="378" spans="1:2" x14ac:dyDescent="0.3">
      <c r="A378" s="386">
        <v>43991</v>
      </c>
      <c r="B378" s="442">
        <v>26.635000000000002</v>
      </c>
    </row>
    <row r="379" spans="1:2" x14ac:dyDescent="0.3">
      <c r="A379" s="386">
        <v>43992</v>
      </c>
      <c r="B379" s="442">
        <v>26.61</v>
      </c>
    </row>
    <row r="380" spans="1:2" x14ac:dyDescent="0.3">
      <c r="A380" s="386">
        <v>43993</v>
      </c>
      <c r="B380" s="442">
        <v>26.675000000000001</v>
      </c>
    </row>
    <row r="381" spans="1:2" x14ac:dyDescent="0.3">
      <c r="A381" s="129" t="s">
        <v>387</v>
      </c>
      <c r="B381" s="442">
        <v>26.68</v>
      </c>
    </row>
    <row r="382" spans="1:2" x14ac:dyDescent="0.3">
      <c r="A382" s="129" t="s">
        <v>388</v>
      </c>
      <c r="B382" s="442">
        <v>26.68</v>
      </c>
    </row>
    <row r="383" spans="1:2" x14ac:dyDescent="0.3">
      <c r="A383" s="129" t="s">
        <v>389</v>
      </c>
      <c r="B383" s="442">
        <v>26.57</v>
      </c>
    </row>
    <row r="384" spans="1:2" x14ac:dyDescent="0.3">
      <c r="A384" s="129" t="s">
        <v>390</v>
      </c>
      <c r="B384" s="442">
        <v>26.56</v>
      </c>
    </row>
    <row r="385" spans="1:2" x14ac:dyDescent="0.3">
      <c r="A385" s="386">
        <v>44000</v>
      </c>
      <c r="B385" s="442">
        <v>26.69</v>
      </c>
    </row>
    <row r="386" spans="1:2" x14ac:dyDescent="0.3">
      <c r="A386" s="129" t="s">
        <v>391</v>
      </c>
      <c r="B386" s="442">
        <v>26.684999999999999</v>
      </c>
    </row>
    <row r="387" spans="1:2" x14ac:dyDescent="0.3">
      <c r="A387" s="129" t="s">
        <v>392</v>
      </c>
      <c r="B387" s="442">
        <v>26.664999999999999</v>
      </c>
    </row>
    <row r="388" spans="1:2" x14ac:dyDescent="0.3">
      <c r="A388" s="386">
        <v>44005</v>
      </c>
      <c r="B388" s="442">
        <v>26.61</v>
      </c>
    </row>
    <row r="389" spans="1:2" x14ac:dyDescent="0.3">
      <c r="A389" s="386">
        <v>44006</v>
      </c>
      <c r="B389" s="442">
        <v>26.734999999999999</v>
      </c>
    </row>
    <row r="390" spans="1:2" x14ac:dyDescent="0.3">
      <c r="A390" s="129" t="s">
        <v>393</v>
      </c>
      <c r="B390" s="442">
        <v>26.795000000000002</v>
      </c>
    </row>
    <row r="391" spans="1:2" x14ac:dyDescent="0.3">
      <c r="A391" s="129" t="s">
        <v>394</v>
      </c>
      <c r="B391" s="442">
        <v>26.805</v>
      </c>
    </row>
    <row r="392" spans="1:2" x14ac:dyDescent="0.3">
      <c r="A392" s="129" t="s">
        <v>395</v>
      </c>
      <c r="B392" s="442">
        <v>26.85</v>
      </c>
    </row>
    <row r="393" spans="1:2" x14ac:dyDescent="0.3">
      <c r="A393" s="386">
        <v>44012</v>
      </c>
      <c r="B393" s="442">
        <v>26.74</v>
      </c>
    </row>
    <row r="394" spans="1:2" x14ac:dyDescent="0.3">
      <c r="A394" s="129" t="s">
        <v>396</v>
      </c>
      <c r="B394" s="442">
        <v>26.67</v>
      </c>
    </row>
    <row r="395" spans="1:2" x14ac:dyDescent="0.3">
      <c r="A395" s="129" t="s">
        <v>397</v>
      </c>
      <c r="B395" s="442">
        <v>26.625</v>
      </c>
    </row>
    <row r="396" spans="1:2" x14ac:dyDescent="0.3">
      <c r="A396" s="129" t="s">
        <v>398</v>
      </c>
      <c r="B396" s="442">
        <v>26.664999999999999</v>
      </c>
    </row>
    <row r="397" spans="1:2" x14ac:dyDescent="0.3">
      <c r="A397" s="129" t="s">
        <v>399</v>
      </c>
      <c r="B397" s="442">
        <v>26.68</v>
      </c>
    </row>
    <row r="398" spans="1:2" x14ac:dyDescent="0.3">
      <c r="A398" s="129" t="s">
        <v>400</v>
      </c>
      <c r="B398" s="442">
        <v>26.745000000000001</v>
      </c>
    </row>
    <row r="399" spans="1:2" x14ac:dyDescent="0.3">
      <c r="A399" s="129" t="s">
        <v>401</v>
      </c>
      <c r="B399" s="442">
        <v>26.62</v>
      </c>
    </row>
    <row r="400" spans="1:2" x14ac:dyDescent="0.3">
      <c r="A400" s="129" t="s">
        <v>402</v>
      </c>
      <c r="B400" s="442">
        <v>26.69</v>
      </c>
    </row>
    <row r="401" spans="1:2" x14ac:dyDescent="0.3">
      <c r="A401" s="129" t="s">
        <v>403</v>
      </c>
      <c r="B401" s="442">
        <v>26.645</v>
      </c>
    </row>
    <row r="402" spans="1:2" x14ac:dyDescent="0.3">
      <c r="A402" s="129" t="s">
        <v>404</v>
      </c>
      <c r="B402" s="442">
        <v>26.635000000000002</v>
      </c>
    </row>
    <row r="403" spans="1:2" x14ac:dyDescent="0.3">
      <c r="A403" s="129" t="s">
        <v>405</v>
      </c>
      <c r="B403" s="442">
        <v>26.59</v>
      </c>
    </row>
    <row r="404" spans="1:2" x14ac:dyDescent="0.3">
      <c r="A404" s="129" t="s">
        <v>406</v>
      </c>
      <c r="B404" s="442">
        <v>26.69</v>
      </c>
    </row>
    <row r="405" spans="1:2" x14ac:dyDescent="0.3">
      <c r="A405" s="129" t="s">
        <v>407</v>
      </c>
      <c r="B405" s="442">
        <v>26.684999999999999</v>
      </c>
    </row>
    <row r="406" spans="1:2" x14ac:dyDescent="0.3">
      <c r="A406" s="129" t="s">
        <v>408</v>
      </c>
      <c r="B406" s="442">
        <v>26.6</v>
      </c>
    </row>
    <row r="407" spans="1:2" x14ac:dyDescent="0.3">
      <c r="A407" s="129" t="s">
        <v>409</v>
      </c>
      <c r="B407" s="442">
        <v>26.43</v>
      </c>
    </row>
    <row r="408" spans="1:2" x14ac:dyDescent="0.3">
      <c r="A408" s="129" t="s">
        <v>410</v>
      </c>
      <c r="B408" s="442">
        <v>26.364999999999998</v>
      </c>
    </row>
    <row r="409" spans="1:2" x14ac:dyDescent="0.3">
      <c r="A409" s="129" t="s">
        <v>411</v>
      </c>
      <c r="B409" s="442">
        <v>26.34</v>
      </c>
    </row>
    <row r="410" spans="1:2" x14ac:dyDescent="0.3">
      <c r="A410" s="129" t="s">
        <v>412</v>
      </c>
      <c r="B410" s="442">
        <v>26.265000000000001</v>
      </c>
    </row>
    <row r="411" spans="1:2" x14ac:dyDescent="0.3">
      <c r="A411" s="129" t="s">
        <v>413</v>
      </c>
      <c r="B411" s="442">
        <v>26.195</v>
      </c>
    </row>
    <row r="412" spans="1:2" x14ac:dyDescent="0.3">
      <c r="A412" s="129" t="s">
        <v>414</v>
      </c>
      <c r="B412" s="442">
        <v>26.254999999999999</v>
      </c>
    </row>
    <row r="413" spans="1:2" x14ac:dyDescent="0.3">
      <c r="A413" s="129" t="s">
        <v>415</v>
      </c>
      <c r="B413" s="442">
        <v>26.29</v>
      </c>
    </row>
    <row r="414" spans="1:2" x14ac:dyDescent="0.3">
      <c r="A414" s="129" t="s">
        <v>416</v>
      </c>
      <c r="B414" s="442">
        <v>26.25</v>
      </c>
    </row>
    <row r="415" spans="1:2" x14ac:dyDescent="0.3">
      <c r="A415" s="129" t="s">
        <v>417</v>
      </c>
      <c r="B415" s="442">
        <v>26.175000000000001</v>
      </c>
    </row>
    <row r="416" spans="1:2" x14ac:dyDescent="0.3">
      <c r="A416" s="129" t="s">
        <v>418</v>
      </c>
      <c r="B416" s="442">
        <v>26.32</v>
      </c>
    </row>
    <row r="417" spans="1:2" x14ac:dyDescent="0.3">
      <c r="A417" s="129" t="s">
        <v>419</v>
      </c>
      <c r="B417" s="442">
        <v>26.22</v>
      </c>
    </row>
    <row r="418" spans="1:2" x14ac:dyDescent="0.3">
      <c r="A418" s="129" t="s">
        <v>420</v>
      </c>
      <c r="B418" s="442">
        <v>26.09</v>
      </c>
    </row>
    <row r="419" spans="1:2" x14ac:dyDescent="0.3">
      <c r="A419" s="129" t="s">
        <v>421</v>
      </c>
      <c r="B419" s="442">
        <v>26.2</v>
      </c>
    </row>
    <row r="420" spans="1:2" x14ac:dyDescent="0.3">
      <c r="A420" s="129" t="s">
        <v>422</v>
      </c>
      <c r="B420" s="442">
        <v>26.28</v>
      </c>
    </row>
    <row r="421" spans="1:2" x14ac:dyDescent="0.3">
      <c r="A421" s="129" t="s">
        <v>423</v>
      </c>
      <c r="B421" s="442">
        <v>26.184999999999999</v>
      </c>
    </row>
    <row r="422" spans="1:2" x14ac:dyDescent="0.3">
      <c r="A422" s="129" t="s">
        <v>424</v>
      </c>
      <c r="B422" s="442">
        <v>26.155000000000001</v>
      </c>
    </row>
    <row r="423" spans="1:2" x14ac:dyDescent="0.3">
      <c r="A423" s="129" t="s">
        <v>425</v>
      </c>
      <c r="B423" s="442">
        <v>26.114999999999998</v>
      </c>
    </row>
    <row r="424" spans="1:2" x14ac:dyDescent="0.3">
      <c r="A424" s="129" t="s">
        <v>426</v>
      </c>
      <c r="B424" s="442">
        <v>26.125</v>
      </c>
    </row>
    <row r="425" spans="1:2" x14ac:dyDescent="0.3">
      <c r="A425" s="129" t="s">
        <v>427</v>
      </c>
      <c r="B425" s="442">
        <v>26.114999999999998</v>
      </c>
    </row>
    <row r="426" spans="1:2" x14ac:dyDescent="0.3">
      <c r="A426" s="129">
        <v>44058</v>
      </c>
      <c r="B426" s="442">
        <v>26.114999999999998</v>
      </c>
    </row>
    <row r="427" spans="1:2" x14ac:dyDescent="0.3">
      <c r="A427" s="129" t="s">
        <v>428</v>
      </c>
      <c r="B427" s="442">
        <v>26.14</v>
      </c>
    </row>
    <row r="428" spans="1:2" x14ac:dyDescent="0.3">
      <c r="A428" s="129" t="s">
        <v>429</v>
      </c>
      <c r="B428" s="442">
        <v>26.135000000000002</v>
      </c>
    </row>
    <row r="429" spans="1:2" x14ac:dyDescent="0.3">
      <c r="A429" s="129" t="s">
        <v>430</v>
      </c>
      <c r="B429" s="442">
        <v>26.114999999999998</v>
      </c>
    </row>
    <row r="430" spans="1:2" x14ac:dyDescent="0.3">
      <c r="A430" s="129" t="s">
        <v>431</v>
      </c>
      <c r="B430" s="442">
        <v>26.06</v>
      </c>
    </row>
    <row r="431" spans="1:2" x14ac:dyDescent="0.3">
      <c r="A431" s="129" t="s">
        <v>432</v>
      </c>
      <c r="B431" s="442">
        <v>26.085000000000001</v>
      </c>
    </row>
    <row r="432" spans="1:2" x14ac:dyDescent="0.3">
      <c r="A432" s="129" t="s">
        <v>433</v>
      </c>
      <c r="B432" s="442">
        <v>26.09</v>
      </c>
    </row>
    <row r="433" spans="1:2" x14ac:dyDescent="0.3">
      <c r="A433" s="129" t="s">
        <v>434</v>
      </c>
      <c r="B433" s="442">
        <v>26.12</v>
      </c>
    </row>
    <row r="434" spans="1:2" x14ac:dyDescent="0.3">
      <c r="A434" s="129" t="s">
        <v>435</v>
      </c>
      <c r="B434" s="442">
        <v>26.26</v>
      </c>
    </row>
    <row r="435" spans="1:2" x14ac:dyDescent="0.3">
      <c r="A435" s="129" t="s">
        <v>436</v>
      </c>
      <c r="B435" s="442">
        <v>26.27</v>
      </c>
    </row>
    <row r="436" spans="1:2" x14ac:dyDescent="0.3">
      <c r="A436" s="129" t="s">
        <v>437</v>
      </c>
      <c r="B436" s="442">
        <v>26.2</v>
      </c>
    </row>
    <row r="437" spans="1:2" x14ac:dyDescent="0.3">
      <c r="A437" s="129" t="s">
        <v>438</v>
      </c>
      <c r="B437" s="442">
        <v>26.21</v>
      </c>
    </row>
    <row r="438" spans="1:2" x14ac:dyDescent="0.3">
      <c r="A438" s="129" t="s">
        <v>439</v>
      </c>
      <c r="B438" s="442">
        <v>26.225000000000001</v>
      </c>
    </row>
    <row r="439" spans="1:2" x14ac:dyDescent="0.3">
      <c r="A439" s="129" t="s">
        <v>440</v>
      </c>
      <c r="B439" s="442">
        <v>26.34</v>
      </c>
    </row>
    <row r="440" spans="1:2" x14ac:dyDescent="0.3">
      <c r="A440" s="129" t="s">
        <v>441</v>
      </c>
      <c r="B440" s="442">
        <v>26.37</v>
      </c>
    </row>
    <row r="441" spans="1:2" x14ac:dyDescent="0.3">
      <c r="A441" s="129" t="s">
        <v>442</v>
      </c>
      <c r="B441" s="442">
        <v>26.434999999999999</v>
      </c>
    </row>
    <row r="442" spans="1:2" x14ac:dyDescent="0.3">
      <c r="A442" s="129" t="s">
        <v>443</v>
      </c>
      <c r="B442" s="442">
        <v>26.47</v>
      </c>
    </row>
    <row r="443" spans="1:2" x14ac:dyDescent="0.3">
      <c r="A443" s="129" t="s">
        <v>444</v>
      </c>
      <c r="B443" s="442">
        <v>26.52</v>
      </c>
    </row>
    <row r="444" spans="1:2" x14ac:dyDescent="0.3">
      <c r="A444" s="129" t="s">
        <v>445</v>
      </c>
      <c r="B444" s="442">
        <v>26.52</v>
      </c>
    </row>
    <row r="445" spans="1:2" x14ac:dyDescent="0.3">
      <c r="A445" s="129" t="s">
        <v>446</v>
      </c>
      <c r="B445" s="442">
        <v>26.585000000000001</v>
      </c>
    </row>
    <row r="446" spans="1:2" x14ac:dyDescent="0.3">
      <c r="A446" s="129" t="s">
        <v>447</v>
      </c>
      <c r="B446" s="442">
        <v>26.57</v>
      </c>
    </row>
    <row r="447" spans="1:2" x14ac:dyDescent="0.3">
      <c r="A447" s="129" t="s">
        <v>448</v>
      </c>
      <c r="B447" s="442">
        <v>26.66</v>
      </c>
    </row>
    <row r="448" spans="1:2" x14ac:dyDescent="0.3">
      <c r="A448" s="129" t="s">
        <v>449</v>
      </c>
      <c r="B448" s="442">
        <v>26.83</v>
      </c>
    </row>
    <row r="449" spans="1:2" x14ac:dyDescent="0.3">
      <c r="A449" s="129" t="s">
        <v>450</v>
      </c>
      <c r="B449" s="442">
        <v>26.715</v>
      </c>
    </row>
    <row r="450" spans="1:2" x14ac:dyDescent="0.3">
      <c r="A450" s="129" t="s">
        <v>451</v>
      </c>
      <c r="B450" s="442">
        <v>26.74</v>
      </c>
    </row>
    <row r="451" spans="1:2" x14ac:dyDescent="0.3">
      <c r="A451" s="129" t="s">
        <v>452</v>
      </c>
      <c r="B451" s="442">
        <v>26.725000000000001</v>
      </c>
    </row>
    <row r="452" spans="1:2" x14ac:dyDescent="0.3">
      <c r="A452" s="129" t="s">
        <v>453</v>
      </c>
      <c r="B452" s="442">
        <v>26.99</v>
      </c>
    </row>
    <row r="453" spans="1:2" x14ac:dyDescent="0.3">
      <c r="A453" s="129" t="s">
        <v>454</v>
      </c>
      <c r="B453" s="442">
        <v>27.01</v>
      </c>
    </row>
    <row r="454" spans="1:2" x14ac:dyDescent="0.3">
      <c r="A454" s="129" t="s">
        <v>455</v>
      </c>
      <c r="B454" s="442">
        <v>26.96</v>
      </c>
    </row>
    <row r="455" spans="1:2" x14ac:dyDescent="0.3">
      <c r="A455" s="129" t="s">
        <v>456</v>
      </c>
      <c r="B455" s="442">
        <v>27.015000000000001</v>
      </c>
    </row>
    <row r="456" spans="1:2" x14ac:dyDescent="0.3">
      <c r="A456" s="129" t="s">
        <v>457</v>
      </c>
      <c r="B456" s="442">
        <v>27.105</v>
      </c>
    </row>
    <row r="457" spans="1:2" x14ac:dyDescent="0.3">
      <c r="A457" s="129" t="s">
        <v>458</v>
      </c>
      <c r="B457" s="442">
        <v>27.15</v>
      </c>
    </row>
    <row r="458" spans="1:2" x14ac:dyDescent="0.3">
      <c r="A458" s="129" t="s">
        <v>459</v>
      </c>
      <c r="B458" s="442">
        <v>27.21</v>
      </c>
    </row>
    <row r="459" spans="1:2" x14ac:dyDescent="0.3">
      <c r="A459" s="129" t="s">
        <v>460</v>
      </c>
      <c r="B459" s="442">
        <v>26.905000000000001</v>
      </c>
    </row>
    <row r="460" spans="1:2" x14ac:dyDescent="0.3">
      <c r="A460" s="129" t="s">
        <v>461</v>
      </c>
      <c r="B460" s="442">
        <v>27.03</v>
      </c>
    </row>
    <row r="461" spans="1:2" x14ac:dyDescent="0.3">
      <c r="A461" s="129" t="s">
        <v>462</v>
      </c>
      <c r="B461" s="442">
        <v>27.094999999999999</v>
      </c>
    </row>
    <row r="462" spans="1:2" x14ac:dyDescent="0.3">
      <c r="A462" s="129" t="s">
        <v>463</v>
      </c>
      <c r="B462" s="442">
        <v>27.03</v>
      </c>
    </row>
    <row r="463" spans="1:2" x14ac:dyDescent="0.3">
      <c r="A463" s="129" t="s">
        <v>464</v>
      </c>
      <c r="B463" s="442">
        <v>27.065000000000001</v>
      </c>
    </row>
    <row r="464" spans="1:2" x14ac:dyDescent="0.3">
      <c r="A464" s="129" t="s">
        <v>465</v>
      </c>
      <c r="B464" s="442">
        <v>27.09</v>
      </c>
    </row>
    <row r="465" spans="1:2" x14ac:dyDescent="0.3">
      <c r="A465" s="129" t="s">
        <v>466</v>
      </c>
      <c r="B465" s="442">
        <v>27.11</v>
      </c>
    </row>
    <row r="466" spans="1:2" x14ac:dyDescent="0.3">
      <c r="A466" s="129" t="s">
        <v>467</v>
      </c>
      <c r="B466" s="442">
        <v>27.175000000000001</v>
      </c>
    </row>
    <row r="467" spans="1:2" x14ac:dyDescent="0.3">
      <c r="A467" s="129" t="s">
        <v>468</v>
      </c>
      <c r="B467" s="442">
        <v>27.36</v>
      </c>
    </row>
    <row r="468" spans="1:2" x14ac:dyDescent="0.3">
      <c r="A468" s="129" t="s">
        <v>469</v>
      </c>
      <c r="B468" s="442">
        <v>27.31</v>
      </c>
    </row>
    <row r="469" spans="1:2" x14ac:dyDescent="0.3">
      <c r="A469" s="129" t="s">
        <v>470</v>
      </c>
      <c r="B469" s="442">
        <v>27.34</v>
      </c>
    </row>
    <row r="470" spans="1:2" x14ac:dyDescent="0.3">
      <c r="A470" s="129" t="s">
        <v>471</v>
      </c>
      <c r="B470" s="442">
        <v>27.274999999999999</v>
      </c>
    </row>
    <row r="471" spans="1:2" x14ac:dyDescent="0.3">
      <c r="A471" s="129" t="s">
        <v>472</v>
      </c>
      <c r="B471" s="442">
        <v>27.344999999999999</v>
      </c>
    </row>
    <row r="472" spans="1:2" x14ac:dyDescent="0.3">
      <c r="A472" s="129" t="s">
        <v>473</v>
      </c>
      <c r="B472" s="442">
        <v>27.234999999999999</v>
      </c>
    </row>
    <row r="473" spans="1:2" x14ac:dyDescent="0.3">
      <c r="A473" s="129" t="s">
        <v>474</v>
      </c>
      <c r="B473" s="442">
        <v>27.184999999999999</v>
      </c>
    </row>
    <row r="474" spans="1:2" x14ac:dyDescent="0.3">
      <c r="A474" s="129" t="s">
        <v>475</v>
      </c>
      <c r="B474" s="442">
        <v>27.23</v>
      </c>
    </row>
    <row r="475" spans="1:2" x14ac:dyDescent="0.3">
      <c r="A475" s="129" t="s">
        <v>476</v>
      </c>
      <c r="B475" s="442">
        <v>27.22</v>
      </c>
    </row>
    <row r="476" spans="1:2" x14ac:dyDescent="0.3">
      <c r="A476" s="129" t="s">
        <v>477</v>
      </c>
      <c r="B476" s="442">
        <v>27.295000000000002</v>
      </c>
    </row>
    <row r="477" spans="1:2" x14ac:dyDescent="0.3">
      <c r="A477" s="129" t="s">
        <v>478</v>
      </c>
      <c r="B477" s="442">
        <v>27.34</v>
      </c>
    </row>
    <row r="478" spans="1:2" x14ac:dyDescent="0.3">
      <c r="A478" s="129" t="s">
        <v>479</v>
      </c>
      <c r="B478" s="442">
        <v>27.364999999999998</v>
      </c>
    </row>
    <row r="479" spans="1:2" x14ac:dyDescent="0.3">
      <c r="A479" s="129" t="s">
        <v>480</v>
      </c>
      <c r="B479" s="442">
        <v>27.25</v>
      </c>
    </row>
    <row r="480" spans="1:2" x14ac:dyDescent="0.3">
      <c r="A480" s="129">
        <v>44135</v>
      </c>
      <c r="B480" s="442">
        <v>27.25</v>
      </c>
    </row>
    <row r="481" spans="1:2" x14ac:dyDescent="0.3">
      <c r="A481" s="129" t="s">
        <v>481</v>
      </c>
      <c r="B481" s="442">
        <v>27.13</v>
      </c>
    </row>
    <row r="482" spans="1:2" x14ac:dyDescent="0.3">
      <c r="A482" s="129" t="s">
        <v>482</v>
      </c>
      <c r="B482" s="442">
        <v>26.92</v>
      </c>
    </row>
    <row r="483" spans="1:2" x14ac:dyDescent="0.3">
      <c r="A483" s="129" t="s">
        <v>483</v>
      </c>
      <c r="B483" s="442">
        <v>26.78</v>
      </c>
    </row>
    <row r="484" spans="1:2" x14ac:dyDescent="0.3">
      <c r="A484" s="129" t="s">
        <v>484</v>
      </c>
      <c r="B484" s="442">
        <v>26.77</v>
      </c>
    </row>
    <row r="485" spans="1:2" x14ac:dyDescent="0.3">
      <c r="A485" s="129" t="s">
        <v>485</v>
      </c>
      <c r="B485" s="442">
        <v>26.664999999999999</v>
      </c>
    </row>
    <row r="486" spans="1:2" x14ac:dyDescent="0.3">
      <c r="A486" s="129" t="s">
        <v>486</v>
      </c>
      <c r="B486" s="442">
        <v>26.46</v>
      </c>
    </row>
    <row r="487" spans="1:2" x14ac:dyDescent="0.3">
      <c r="A487" s="129" t="s">
        <v>487</v>
      </c>
      <c r="B487" s="442">
        <v>26.431000000000001</v>
      </c>
    </row>
    <row r="488" spans="1:2" x14ac:dyDescent="0.3">
      <c r="A488" s="129" t="s">
        <v>488</v>
      </c>
      <c r="B488" s="442">
        <v>26.445</v>
      </c>
    </row>
    <row r="489" spans="1:2" x14ac:dyDescent="0.3">
      <c r="A489" s="129" t="s">
        <v>489</v>
      </c>
      <c r="B489" s="442">
        <v>26.465</v>
      </c>
    </row>
    <row r="490" spans="1:2" x14ac:dyDescent="0.3">
      <c r="A490" s="129" t="s">
        <v>490</v>
      </c>
      <c r="B490" s="442">
        <v>26.465</v>
      </c>
    </row>
    <row r="491" spans="1:2" x14ac:dyDescent="0.3">
      <c r="A491" s="129" t="s">
        <v>491</v>
      </c>
      <c r="B491" s="442">
        <v>26.35</v>
      </c>
    </row>
    <row r="492" spans="1:2" x14ac:dyDescent="0.3">
      <c r="A492" s="129" t="s">
        <v>492</v>
      </c>
      <c r="B492" s="442">
        <v>26.4</v>
      </c>
    </row>
    <row r="493" spans="1:2" x14ac:dyDescent="0.3">
      <c r="A493" s="129" t="s">
        <v>493</v>
      </c>
      <c r="B493" s="442">
        <v>26.36</v>
      </c>
    </row>
    <row r="494" spans="1:2" x14ac:dyDescent="0.3">
      <c r="A494" s="129" t="s">
        <v>494</v>
      </c>
      <c r="B494" s="442">
        <v>26.34</v>
      </c>
    </row>
    <row r="495" spans="1:2" x14ac:dyDescent="0.3">
      <c r="A495" s="129" t="s">
        <v>495</v>
      </c>
      <c r="B495" s="442">
        <v>26.305</v>
      </c>
    </row>
    <row r="496" spans="1:2" x14ac:dyDescent="0.3">
      <c r="A496" s="129" t="s">
        <v>496</v>
      </c>
      <c r="B496" s="442">
        <v>26.26</v>
      </c>
    </row>
    <row r="497" spans="1:2" x14ac:dyDescent="0.3">
      <c r="A497" s="129" t="s">
        <v>497</v>
      </c>
      <c r="B497" s="442">
        <v>26.175000000000001</v>
      </c>
    </row>
    <row r="498" spans="1:2" x14ac:dyDescent="0.3">
      <c r="A498" s="129" t="s">
        <v>498</v>
      </c>
      <c r="B498" s="442">
        <v>26.135000000000002</v>
      </c>
    </row>
    <row r="499" spans="1:2" x14ac:dyDescent="0.3">
      <c r="A499" s="129" t="s">
        <v>499</v>
      </c>
      <c r="B499" s="442">
        <v>26.22</v>
      </c>
    </row>
    <row r="500" spans="1:2" x14ac:dyDescent="0.3">
      <c r="A500" s="129" t="s">
        <v>500</v>
      </c>
      <c r="B500" s="442">
        <v>26.19</v>
      </c>
    </row>
    <row r="501" spans="1:2" x14ac:dyDescent="0.3">
      <c r="A501" s="129" t="s">
        <v>501</v>
      </c>
      <c r="B501" s="442">
        <v>26.24</v>
      </c>
    </row>
    <row r="502" spans="1:2" x14ac:dyDescent="0.3">
      <c r="A502" s="129" t="s">
        <v>502</v>
      </c>
      <c r="B502" s="442">
        <v>26.41</v>
      </c>
    </row>
    <row r="503" spans="1:2" x14ac:dyDescent="0.3">
      <c r="A503" s="129" t="s">
        <v>503</v>
      </c>
      <c r="B503" s="442">
        <v>26.42</v>
      </c>
    </row>
    <row r="504" spans="1:2" x14ac:dyDescent="0.3">
      <c r="A504" s="129" t="s">
        <v>504</v>
      </c>
      <c r="B504" s="442">
        <v>26.52</v>
      </c>
    </row>
    <row r="505" spans="1:2" x14ac:dyDescent="0.3">
      <c r="A505" s="129" t="s">
        <v>505</v>
      </c>
      <c r="B505" s="442">
        <v>26.48</v>
      </c>
    </row>
    <row r="506" spans="1:2" x14ac:dyDescent="0.3">
      <c r="A506" s="129" t="s">
        <v>506</v>
      </c>
      <c r="B506" s="442">
        <v>26.395</v>
      </c>
    </row>
    <row r="507" spans="1:2" x14ac:dyDescent="0.3">
      <c r="A507" s="129" t="s">
        <v>507</v>
      </c>
      <c r="B507" s="442">
        <v>26.24</v>
      </c>
    </row>
    <row r="508" spans="1:2" x14ac:dyDescent="0.3">
      <c r="A508" s="129" t="s">
        <v>508</v>
      </c>
      <c r="B508" s="442">
        <v>26.305</v>
      </c>
    </row>
    <row r="509" spans="1:2" x14ac:dyDescent="0.3">
      <c r="A509" s="129" t="s">
        <v>509</v>
      </c>
      <c r="B509" s="442">
        <v>26.33</v>
      </c>
    </row>
    <row r="510" spans="1:2" x14ac:dyDescent="0.3">
      <c r="A510" s="129">
        <v>44177</v>
      </c>
      <c r="B510" s="442">
        <v>26.33</v>
      </c>
    </row>
    <row r="511" spans="1:2" x14ac:dyDescent="0.3">
      <c r="A511" s="129" t="s">
        <v>510</v>
      </c>
      <c r="B511" s="442">
        <v>26.315000000000001</v>
      </c>
    </row>
    <row r="512" spans="1:2" x14ac:dyDescent="0.3">
      <c r="A512" s="129" t="s">
        <v>511</v>
      </c>
      <c r="B512" s="442">
        <v>26.36</v>
      </c>
    </row>
    <row r="513" spans="1:2" x14ac:dyDescent="0.3">
      <c r="A513" s="129" t="s">
        <v>512</v>
      </c>
      <c r="B513" s="442">
        <v>26.2</v>
      </c>
    </row>
    <row r="514" spans="1:2" x14ac:dyDescent="0.3">
      <c r="A514" s="129" t="s">
        <v>513</v>
      </c>
      <c r="B514" s="442">
        <v>26.204999999999998</v>
      </c>
    </row>
    <row r="515" spans="1:2" x14ac:dyDescent="0.3">
      <c r="A515" s="129" t="s">
        <v>514</v>
      </c>
      <c r="B515" s="442">
        <v>26.14</v>
      </c>
    </row>
    <row r="516" spans="1:2" x14ac:dyDescent="0.3">
      <c r="A516" s="129" t="s">
        <v>515</v>
      </c>
      <c r="B516" s="442">
        <v>26.28</v>
      </c>
    </row>
    <row r="517" spans="1:2" x14ac:dyDescent="0.3">
      <c r="A517" s="129" t="s">
        <v>516</v>
      </c>
      <c r="B517" s="442">
        <v>26.3</v>
      </c>
    </row>
    <row r="518" spans="1:2" x14ac:dyDescent="0.3">
      <c r="A518" s="129" t="s">
        <v>517</v>
      </c>
      <c r="B518" s="442">
        <v>26.37</v>
      </c>
    </row>
    <row r="519" spans="1:2" x14ac:dyDescent="0.3">
      <c r="A519" s="129" t="s">
        <v>518</v>
      </c>
      <c r="B519" s="442">
        <v>26.245000000000001</v>
      </c>
    </row>
    <row r="520" spans="1:2" x14ac:dyDescent="0.3">
      <c r="A520" s="129" t="s">
        <v>519</v>
      </c>
      <c r="B520" s="442">
        <v>26.31</v>
      </c>
    </row>
    <row r="521" spans="1:2" x14ac:dyDescent="0.3">
      <c r="A521" s="129" t="s">
        <v>520</v>
      </c>
      <c r="B521" s="442">
        <v>26.25</v>
      </c>
    </row>
    <row r="522" spans="1:2" x14ac:dyDescent="0.3">
      <c r="A522" s="129" t="s">
        <v>521</v>
      </c>
      <c r="B522" s="442">
        <v>26.245000000000001</v>
      </c>
    </row>
    <row r="523" spans="1:2" x14ac:dyDescent="0.3">
      <c r="A523" s="129">
        <v>44197</v>
      </c>
      <c r="B523" s="442">
        <v>26.245000000000001</v>
      </c>
    </row>
    <row r="524" spans="1:2" x14ac:dyDescent="0.3">
      <c r="A524" s="129" t="s">
        <v>530</v>
      </c>
      <c r="B524" s="442">
        <v>26.14</v>
      </c>
    </row>
    <row r="525" spans="1:2" x14ac:dyDescent="0.3">
      <c r="A525" s="129" t="s">
        <v>531</v>
      </c>
      <c r="B525" s="442">
        <v>26.225000000000001</v>
      </c>
    </row>
    <row r="526" spans="1:2" x14ac:dyDescent="0.3">
      <c r="A526" s="129" t="s">
        <v>532</v>
      </c>
      <c r="B526" s="442">
        <v>26.145</v>
      </c>
    </row>
    <row r="527" spans="1:2" x14ac:dyDescent="0.3">
      <c r="A527" s="129" t="s">
        <v>533</v>
      </c>
      <c r="B527" s="442">
        <v>26.145</v>
      </c>
    </row>
    <row r="528" spans="1:2" x14ac:dyDescent="0.3">
      <c r="A528" s="129" t="s">
        <v>534</v>
      </c>
      <c r="B528" s="442">
        <v>26.164999999999999</v>
      </c>
    </row>
    <row r="529" spans="1:2" x14ac:dyDescent="0.3">
      <c r="A529" s="129" t="s">
        <v>535</v>
      </c>
      <c r="B529" s="442">
        <v>26.24</v>
      </c>
    </row>
    <row r="530" spans="1:2" x14ac:dyDescent="0.3">
      <c r="A530" s="129" t="s">
        <v>536</v>
      </c>
      <c r="B530" s="442">
        <v>26.19</v>
      </c>
    </row>
    <row r="531" spans="1:2" x14ac:dyDescent="0.3">
      <c r="A531" s="129" t="s">
        <v>537</v>
      </c>
      <c r="B531" s="442">
        <v>26.175000000000001</v>
      </c>
    </row>
    <row r="532" spans="1:2" x14ac:dyDescent="0.3">
      <c r="A532" s="129" t="s">
        <v>538</v>
      </c>
      <c r="B532" s="442">
        <v>26.19</v>
      </c>
    </row>
    <row r="533" spans="1:2" x14ac:dyDescent="0.3">
      <c r="A533" s="129" t="s">
        <v>539</v>
      </c>
      <c r="B533" s="442">
        <v>26.16</v>
      </c>
    </row>
    <row r="534" spans="1:2" x14ac:dyDescent="0.3">
      <c r="A534" s="129" t="s">
        <v>540</v>
      </c>
      <c r="B534" s="442">
        <v>26.184999999999999</v>
      </c>
    </row>
    <row r="535" spans="1:2" x14ac:dyDescent="0.3">
      <c r="A535" s="129" t="s">
        <v>541</v>
      </c>
      <c r="B535" s="442">
        <v>26.16</v>
      </c>
    </row>
    <row r="536" spans="1:2" x14ac:dyDescent="0.3">
      <c r="A536" s="129" t="s">
        <v>542</v>
      </c>
      <c r="B536" s="442">
        <v>26.125</v>
      </c>
    </row>
    <row r="537" spans="1:2" x14ac:dyDescent="0.3">
      <c r="A537" s="129" t="s">
        <v>543</v>
      </c>
      <c r="B537" s="442">
        <v>26.094999999999999</v>
      </c>
    </row>
    <row r="538" spans="1:2" x14ac:dyDescent="0.3">
      <c r="A538" s="129" t="s">
        <v>544</v>
      </c>
      <c r="B538" s="442">
        <v>26.15</v>
      </c>
    </row>
    <row r="539" spans="1:2" x14ac:dyDescent="0.3">
      <c r="A539" s="129" t="s">
        <v>545</v>
      </c>
      <c r="B539" s="442">
        <v>26.08</v>
      </c>
    </row>
    <row r="540" spans="1:2" x14ac:dyDescent="0.3">
      <c r="A540" s="129" t="s">
        <v>546</v>
      </c>
      <c r="B540" s="442">
        <v>26.08</v>
      </c>
    </row>
    <row r="541" spans="1:2" x14ac:dyDescent="0.3">
      <c r="A541" s="129" t="s">
        <v>547</v>
      </c>
      <c r="B541" s="442">
        <v>26.024999999999999</v>
      </c>
    </row>
    <row r="542" spans="1:2" x14ac:dyDescent="0.3">
      <c r="A542" s="129" t="s">
        <v>548</v>
      </c>
      <c r="B542" s="442">
        <v>26.114999999999998</v>
      </c>
    </row>
    <row r="543" spans="1:2" x14ac:dyDescent="0.3">
      <c r="A543" s="129" t="s">
        <v>549</v>
      </c>
      <c r="B543" s="442">
        <v>26.02</v>
      </c>
    </row>
    <row r="544" spans="1:2" x14ac:dyDescent="0.3">
      <c r="A544" s="129">
        <v>44227</v>
      </c>
      <c r="B544" s="442">
        <v>26.02</v>
      </c>
    </row>
    <row r="545" spans="1:2" x14ac:dyDescent="0.3">
      <c r="A545" s="129" t="s">
        <v>550</v>
      </c>
      <c r="B545" s="442">
        <v>25.97</v>
      </c>
    </row>
    <row r="546" spans="1:2" x14ac:dyDescent="0.3">
      <c r="A546" s="129" t="s">
        <v>551</v>
      </c>
      <c r="B546" s="442">
        <v>25.9</v>
      </c>
    </row>
    <row r="547" spans="1:2" x14ac:dyDescent="0.3">
      <c r="A547" s="129" t="s">
        <v>552</v>
      </c>
      <c r="B547" s="442">
        <v>25.925000000000001</v>
      </c>
    </row>
    <row r="548" spans="1:2" x14ac:dyDescent="0.3">
      <c r="A548" s="129" t="s">
        <v>553</v>
      </c>
      <c r="B548" s="442">
        <v>25.895</v>
      </c>
    </row>
    <row r="549" spans="1:2" x14ac:dyDescent="0.3">
      <c r="A549" s="129" t="s">
        <v>554</v>
      </c>
      <c r="B549" s="442">
        <v>25.805</v>
      </c>
    </row>
    <row r="550" spans="1:2" x14ac:dyDescent="0.3">
      <c r="A550" s="129" t="s">
        <v>555</v>
      </c>
      <c r="B550" s="442">
        <v>25.734999999999999</v>
      </c>
    </row>
    <row r="551" spans="1:2" x14ac:dyDescent="0.3">
      <c r="A551" s="129" t="s">
        <v>556</v>
      </c>
      <c r="B551" s="442">
        <v>25.74</v>
      </c>
    </row>
    <row r="552" spans="1:2" x14ac:dyDescent="0.3">
      <c r="A552" s="129" t="s">
        <v>557</v>
      </c>
      <c r="B552" s="442">
        <v>25.83</v>
      </c>
    </row>
    <row r="553" spans="1:2" x14ac:dyDescent="0.3">
      <c r="A553" s="129" t="s">
        <v>558</v>
      </c>
      <c r="B553" s="442">
        <v>25.77</v>
      </c>
    </row>
    <row r="554" spans="1:2" x14ac:dyDescent="0.3">
      <c r="A554" s="129" t="s">
        <v>559</v>
      </c>
      <c r="B554" s="442">
        <v>25.754999999999999</v>
      </c>
    </row>
    <row r="555" spans="1:2" x14ac:dyDescent="0.3">
      <c r="A555" s="129" t="s">
        <v>560</v>
      </c>
      <c r="B555" s="442">
        <v>25.68</v>
      </c>
    </row>
    <row r="556" spans="1:2" x14ac:dyDescent="0.3">
      <c r="A556" s="129" t="s">
        <v>561</v>
      </c>
      <c r="B556" s="442">
        <v>25.754999999999999</v>
      </c>
    </row>
    <row r="557" spans="1:2" x14ac:dyDescent="0.3">
      <c r="A557" s="129" t="s">
        <v>562</v>
      </c>
      <c r="B557" s="442">
        <v>25.885000000000002</v>
      </c>
    </row>
    <row r="558" spans="1:2" x14ac:dyDescent="0.3">
      <c r="A558" s="129" t="s">
        <v>563</v>
      </c>
      <c r="B558" s="442">
        <v>25.86</v>
      </c>
    </row>
    <row r="559" spans="1:2" x14ac:dyDescent="0.3">
      <c r="A559" s="129" t="s">
        <v>564</v>
      </c>
      <c r="B559" s="442">
        <v>25.844999999999999</v>
      </c>
    </row>
    <row r="560" spans="1:2" x14ac:dyDescent="0.3">
      <c r="A560" s="129" t="s">
        <v>565</v>
      </c>
      <c r="B560" s="442">
        <v>25.954999999999998</v>
      </c>
    </row>
    <row r="561" spans="1:2" x14ac:dyDescent="0.3">
      <c r="A561" s="129" t="s">
        <v>566</v>
      </c>
      <c r="B561" s="442">
        <v>25.905000000000001</v>
      </c>
    </row>
    <row r="562" spans="1:2" x14ac:dyDescent="0.3">
      <c r="A562" s="129" t="s">
        <v>567</v>
      </c>
      <c r="B562" s="442">
        <v>25.975000000000001</v>
      </c>
    </row>
    <row r="563" spans="1:2" x14ac:dyDescent="0.3">
      <c r="A563" s="129" t="s">
        <v>568</v>
      </c>
      <c r="B563" s="442">
        <v>26.11</v>
      </c>
    </row>
    <row r="564" spans="1:2" x14ac:dyDescent="0.3">
      <c r="A564" s="129" t="s">
        <v>569</v>
      </c>
      <c r="B564" s="442">
        <v>26.195</v>
      </c>
    </row>
    <row r="565" spans="1:2" x14ac:dyDescent="0.3">
      <c r="A565" s="129">
        <v>44255</v>
      </c>
      <c r="B565" s="442">
        <v>26.195</v>
      </c>
    </row>
    <row r="566" spans="1:2" x14ac:dyDescent="0.3">
      <c r="A566" s="129" t="s">
        <v>570</v>
      </c>
      <c r="B566" s="442">
        <v>26.08</v>
      </c>
    </row>
    <row r="567" spans="1:2" x14ac:dyDescent="0.3">
      <c r="A567" s="129" t="s">
        <v>571</v>
      </c>
      <c r="B567" s="442">
        <v>26.14</v>
      </c>
    </row>
    <row r="568" spans="1:2" x14ac:dyDescent="0.3">
      <c r="A568" s="129" t="s">
        <v>572</v>
      </c>
      <c r="B568" s="442">
        <v>26.14</v>
      </c>
    </row>
    <row r="569" spans="1:2" x14ac:dyDescent="0.3">
      <c r="A569" s="129" t="s">
        <v>573</v>
      </c>
      <c r="B569" s="442">
        <v>26.204999999999998</v>
      </c>
    </row>
    <row r="570" spans="1:2" x14ac:dyDescent="0.3">
      <c r="A570" s="129" t="s">
        <v>574</v>
      </c>
      <c r="B570" s="442">
        <v>26.305</v>
      </c>
    </row>
    <row r="571" spans="1:2" x14ac:dyDescent="0.3">
      <c r="A571" s="129" t="s">
        <v>575</v>
      </c>
      <c r="B571" s="442">
        <v>26.42</v>
      </c>
    </row>
    <row r="572" spans="1:2" x14ac:dyDescent="0.3">
      <c r="A572" s="129" t="s">
        <v>576</v>
      </c>
      <c r="B572" s="442">
        <v>26.285</v>
      </c>
    </row>
    <row r="573" spans="1:2" x14ac:dyDescent="0.3">
      <c r="A573" s="129" t="s">
        <v>577</v>
      </c>
      <c r="B573" s="442">
        <v>26.225000000000001</v>
      </c>
    </row>
    <row r="574" spans="1:2" x14ac:dyDescent="0.3">
      <c r="A574" s="129" t="s">
        <v>578</v>
      </c>
      <c r="B574" s="442">
        <v>26.17</v>
      </c>
    </row>
    <row r="575" spans="1:2" x14ac:dyDescent="0.3">
      <c r="A575" s="129" t="s">
        <v>579</v>
      </c>
      <c r="B575" s="442">
        <v>26.15</v>
      </c>
    </row>
    <row r="576" spans="1:2" x14ac:dyDescent="0.3">
      <c r="A576" s="129" t="s">
        <v>580</v>
      </c>
      <c r="B576" s="442">
        <v>26.195</v>
      </c>
    </row>
    <row r="577" spans="1:2" x14ac:dyDescent="0.3">
      <c r="A577" s="129" t="s">
        <v>581</v>
      </c>
      <c r="B577" s="442">
        <v>26.2</v>
      </c>
    </row>
    <row r="578" spans="1:2" x14ac:dyDescent="0.3">
      <c r="A578" s="129" t="s">
        <v>582</v>
      </c>
      <c r="B578" s="442">
        <v>26.16</v>
      </c>
    </row>
    <row r="579" spans="1:2" x14ac:dyDescent="0.3">
      <c r="A579" s="129" t="s">
        <v>583</v>
      </c>
      <c r="B579" s="442">
        <v>26.17</v>
      </c>
    </row>
    <row r="580" spans="1:2" x14ac:dyDescent="0.3">
      <c r="A580" s="129" t="s">
        <v>584</v>
      </c>
      <c r="B580" s="442">
        <v>26.13</v>
      </c>
    </row>
    <row r="581" spans="1:2" x14ac:dyDescent="0.3">
      <c r="A581" s="129" t="s">
        <v>585</v>
      </c>
      <c r="B581" s="442">
        <v>26.074999999999999</v>
      </c>
    </row>
    <row r="582" spans="1:2" x14ac:dyDescent="0.3">
      <c r="A582" s="129" t="s">
        <v>586</v>
      </c>
      <c r="B582" s="442">
        <v>26.195</v>
      </c>
    </row>
    <row r="583" spans="1:2" x14ac:dyDescent="0.3">
      <c r="A583" s="129" t="s">
        <v>587</v>
      </c>
      <c r="B583" s="442">
        <v>26.204999999999998</v>
      </c>
    </row>
    <row r="584" spans="1:2" x14ac:dyDescent="0.3">
      <c r="A584" s="129" t="s">
        <v>588</v>
      </c>
      <c r="B584" s="442">
        <v>26.234999999999999</v>
      </c>
    </row>
    <row r="585" spans="1:2" x14ac:dyDescent="0.3">
      <c r="A585" s="129" t="s">
        <v>589</v>
      </c>
      <c r="B585" s="442">
        <v>26.085000000000001</v>
      </c>
    </row>
    <row r="586" spans="1:2" x14ac:dyDescent="0.3">
      <c r="A586" s="129" t="s">
        <v>590</v>
      </c>
      <c r="B586" s="442">
        <v>26.08</v>
      </c>
    </row>
    <row r="587" spans="1:2" x14ac:dyDescent="0.3">
      <c r="A587" s="129" t="s">
        <v>591</v>
      </c>
      <c r="B587" s="442">
        <v>26.125</v>
      </c>
    </row>
    <row r="588" spans="1:2" x14ac:dyDescent="0.3">
      <c r="A588" s="129" t="s">
        <v>592</v>
      </c>
      <c r="B588" s="442">
        <v>26.145</v>
      </c>
    </row>
    <row r="589" spans="1:2" x14ac:dyDescent="0.3">
      <c r="A589" s="129" t="s">
        <v>593</v>
      </c>
      <c r="B589" s="442">
        <v>26.085000000000001</v>
      </c>
    </row>
    <row r="590" spans="1:2" x14ac:dyDescent="0.3">
      <c r="A590" s="129" t="s">
        <v>594</v>
      </c>
      <c r="B590" s="442">
        <v>26.05</v>
      </c>
    </row>
    <row r="591" spans="1:2" x14ac:dyDescent="0.3">
      <c r="A591" s="129" t="s">
        <v>595</v>
      </c>
      <c r="B591" s="442">
        <v>25.914999999999999</v>
      </c>
    </row>
    <row r="592" spans="1:2" x14ac:dyDescent="0.3">
      <c r="A592" s="129" t="s">
        <v>596</v>
      </c>
      <c r="B592" s="442">
        <v>25.88</v>
      </c>
    </row>
    <row r="593" spans="1:2" x14ac:dyDescent="0.3">
      <c r="A593" s="129" t="s">
        <v>597</v>
      </c>
      <c r="B593" s="442">
        <v>25.94</v>
      </c>
    </row>
    <row r="594" spans="1:2" x14ac:dyDescent="0.3">
      <c r="A594" s="129" t="s">
        <v>598</v>
      </c>
      <c r="B594" s="442">
        <v>26.024999999999999</v>
      </c>
    </row>
    <row r="595" spans="1:2" x14ac:dyDescent="0.3">
      <c r="A595" s="129" t="s">
        <v>599</v>
      </c>
      <c r="B595" s="442">
        <v>26.015000000000001</v>
      </c>
    </row>
    <row r="596" spans="1:2" x14ac:dyDescent="0.3">
      <c r="A596" s="129" t="s">
        <v>600</v>
      </c>
      <c r="B596" s="442">
        <v>25.934999999999999</v>
      </c>
    </row>
    <row r="597" spans="1:2" x14ac:dyDescent="0.3">
      <c r="A597" s="129" t="s">
        <v>601</v>
      </c>
      <c r="B597" s="442">
        <v>25.94</v>
      </c>
    </row>
    <row r="598" spans="1:2" x14ac:dyDescent="0.3">
      <c r="A598" s="129" t="s">
        <v>602</v>
      </c>
      <c r="B598" s="442">
        <v>25.925000000000001</v>
      </c>
    </row>
    <row r="599" spans="1:2" x14ac:dyDescent="0.3">
      <c r="A599" s="129" t="s">
        <v>603</v>
      </c>
      <c r="B599" s="442">
        <v>25.9</v>
      </c>
    </row>
    <row r="600" spans="1:2" x14ac:dyDescent="0.3">
      <c r="A600" s="129" t="s">
        <v>604</v>
      </c>
      <c r="B600" s="442">
        <v>25.905000000000001</v>
      </c>
    </row>
    <row r="601" spans="1:2" x14ac:dyDescent="0.3">
      <c r="A601" s="129" t="s">
        <v>605</v>
      </c>
      <c r="B601" s="442">
        <v>25.89</v>
      </c>
    </row>
    <row r="602" spans="1:2" x14ac:dyDescent="0.3">
      <c r="A602" s="129" t="s">
        <v>606</v>
      </c>
      <c r="B602" s="442">
        <v>25.86</v>
      </c>
    </row>
    <row r="603" spans="1:2" x14ac:dyDescent="0.3">
      <c r="A603" s="129" t="s">
        <v>607</v>
      </c>
      <c r="B603" s="442">
        <v>25.844999999999999</v>
      </c>
    </row>
    <row r="604" spans="1:2" x14ac:dyDescent="0.3">
      <c r="A604" s="129" t="s">
        <v>608</v>
      </c>
      <c r="B604" s="442">
        <v>25.805</v>
      </c>
    </row>
    <row r="605" spans="1:2" x14ac:dyDescent="0.3">
      <c r="A605" s="129" t="s">
        <v>609</v>
      </c>
      <c r="B605" s="442">
        <v>25.895</v>
      </c>
    </row>
    <row r="606" spans="1:2" x14ac:dyDescent="0.3">
      <c r="A606" s="129" t="s">
        <v>610</v>
      </c>
      <c r="B606" s="442">
        <v>25.96</v>
      </c>
    </row>
    <row r="607" spans="1:2" x14ac:dyDescent="0.3">
      <c r="A607" s="129" t="s">
        <v>611</v>
      </c>
      <c r="B607" s="442">
        <v>25.815000000000001</v>
      </c>
    </row>
    <row r="608" spans="1:2" x14ac:dyDescent="0.3">
      <c r="A608" s="129" t="s">
        <v>612</v>
      </c>
      <c r="B608" s="442">
        <v>25.885000000000002</v>
      </c>
    </row>
    <row r="609" spans="1:2" x14ac:dyDescent="0.3">
      <c r="A609" s="129" t="s">
        <v>613</v>
      </c>
      <c r="B609" s="442">
        <v>25.785</v>
      </c>
    </row>
    <row r="610" spans="1:2" x14ac:dyDescent="0.3">
      <c r="A610" s="129" t="s">
        <v>614</v>
      </c>
      <c r="B610" s="442">
        <v>25.844999999999999</v>
      </c>
    </row>
    <row r="611" spans="1:2" x14ac:dyDescent="0.3">
      <c r="A611" s="129" t="s">
        <v>615</v>
      </c>
      <c r="B611" s="442">
        <v>25.8</v>
      </c>
    </row>
    <row r="612" spans="1:2" x14ac:dyDescent="0.3">
      <c r="A612" s="129" t="s">
        <v>616</v>
      </c>
      <c r="B612" s="442">
        <v>25.844999999999999</v>
      </c>
    </row>
    <row r="613" spans="1:2" x14ac:dyDescent="0.3">
      <c r="A613" s="129" t="s">
        <v>617</v>
      </c>
      <c r="B613" s="442">
        <v>25.68</v>
      </c>
    </row>
    <row r="614" spans="1:2" x14ac:dyDescent="0.3">
      <c r="A614" s="129" t="s">
        <v>618</v>
      </c>
      <c r="B614" s="442">
        <v>25.59</v>
      </c>
    </row>
    <row r="615" spans="1:2" x14ac:dyDescent="0.3">
      <c r="A615" s="129" t="s">
        <v>619</v>
      </c>
      <c r="B615" s="442">
        <v>25.574999999999999</v>
      </c>
    </row>
    <row r="616" spans="1:2" x14ac:dyDescent="0.3">
      <c r="A616" s="129" t="s">
        <v>620</v>
      </c>
      <c r="B616" s="442">
        <v>25.52</v>
      </c>
    </row>
    <row r="617" spans="1:2" x14ac:dyDescent="0.3">
      <c r="A617" s="129" t="s">
        <v>621</v>
      </c>
      <c r="B617" s="442">
        <v>25.574999999999999</v>
      </c>
    </row>
    <row r="618" spans="1:2" x14ac:dyDescent="0.3">
      <c r="A618" s="129" t="s">
        <v>622</v>
      </c>
      <c r="B618" s="442">
        <v>25.49</v>
      </c>
    </row>
    <row r="619" spans="1:2" x14ac:dyDescent="0.3">
      <c r="A619" s="129" t="s">
        <v>623</v>
      </c>
      <c r="B619" s="442">
        <v>25.495000000000001</v>
      </c>
    </row>
    <row r="620" spans="1:2" x14ac:dyDescent="0.3">
      <c r="A620" s="129" t="s">
        <v>624</v>
      </c>
      <c r="B620" s="442">
        <v>25.43</v>
      </c>
    </row>
    <row r="621" spans="1:2" x14ac:dyDescent="0.3">
      <c r="A621" s="129" t="s">
        <v>625</v>
      </c>
      <c r="B621" s="442">
        <v>25.445</v>
      </c>
    </row>
    <row r="622" spans="1:2" x14ac:dyDescent="0.3">
      <c r="A622" s="129" t="s">
        <v>626</v>
      </c>
      <c r="B622" s="442">
        <v>25.515000000000001</v>
      </c>
    </row>
    <row r="623" spans="1:2" x14ac:dyDescent="0.3">
      <c r="A623" s="129" t="s">
        <v>627</v>
      </c>
      <c r="B623" s="442">
        <v>25.45</v>
      </c>
    </row>
    <row r="624" spans="1:2" x14ac:dyDescent="0.3">
      <c r="A624" s="129" t="s">
        <v>628</v>
      </c>
      <c r="B624" s="442">
        <v>25.43</v>
      </c>
    </row>
    <row r="625" spans="1:2" x14ac:dyDescent="0.3">
      <c r="A625" s="129">
        <v>44341</v>
      </c>
      <c r="B625" s="442">
        <v>25.45</v>
      </c>
    </row>
    <row r="626" spans="1:2" x14ac:dyDescent="0.3">
      <c r="A626" s="129">
        <v>44342</v>
      </c>
      <c r="B626" s="442">
        <v>25.45</v>
      </c>
    </row>
    <row r="627" spans="1:2" x14ac:dyDescent="0.3">
      <c r="A627" s="129">
        <v>44343</v>
      </c>
      <c r="B627" s="442">
        <v>25.44</v>
      </c>
    </row>
    <row r="628" spans="1:2" x14ac:dyDescent="0.3">
      <c r="A628" s="129">
        <v>44344</v>
      </c>
      <c r="B628" s="442">
        <v>25.45</v>
      </c>
    </row>
    <row r="629" spans="1:2" x14ac:dyDescent="0.3">
      <c r="A629" s="129">
        <v>44347</v>
      </c>
      <c r="B629" s="442">
        <v>25.45</v>
      </c>
    </row>
    <row r="630" spans="1:2" x14ac:dyDescent="0.3">
      <c r="A630" s="129">
        <v>44348</v>
      </c>
      <c r="B630" s="442">
        <v>25.46</v>
      </c>
    </row>
    <row r="631" spans="1:2" x14ac:dyDescent="0.3">
      <c r="A631" s="129">
        <v>44349</v>
      </c>
      <c r="B631" s="442">
        <v>25.465</v>
      </c>
    </row>
    <row r="632" spans="1:2" x14ac:dyDescent="0.3">
      <c r="A632" s="129">
        <v>44350</v>
      </c>
      <c r="B632" s="442">
        <v>25.45</v>
      </c>
    </row>
    <row r="633" spans="1:2" x14ac:dyDescent="0.3">
      <c r="A633" s="129">
        <v>44351</v>
      </c>
      <c r="B633" s="442">
        <v>25.445</v>
      </c>
    </row>
    <row r="634" spans="1:2" x14ac:dyDescent="0.3">
      <c r="A634" s="129">
        <v>44354</v>
      </c>
      <c r="B634" s="442">
        <v>25.395</v>
      </c>
    </row>
    <row r="635" spans="1:2" x14ac:dyDescent="0.3">
      <c r="A635" s="129">
        <v>44355</v>
      </c>
      <c r="B635" s="442">
        <v>25.4</v>
      </c>
    </row>
    <row r="636" spans="1:2" x14ac:dyDescent="0.3">
      <c r="A636" s="129">
        <v>44356</v>
      </c>
      <c r="B636" s="442">
        <v>25.375</v>
      </c>
    </row>
    <row r="637" spans="1:2" x14ac:dyDescent="0.3">
      <c r="A637" s="129">
        <v>44357</v>
      </c>
      <c r="B637" s="442">
        <v>25.39</v>
      </c>
    </row>
    <row r="638" spans="1:2" x14ac:dyDescent="0.3">
      <c r="A638" s="129">
        <v>44358</v>
      </c>
      <c r="B638" s="442">
        <v>25.335000000000001</v>
      </c>
    </row>
    <row r="639" spans="1:2" x14ac:dyDescent="0.3">
      <c r="A639" s="129">
        <v>44361</v>
      </c>
      <c r="B639" s="442">
        <v>25.42</v>
      </c>
    </row>
    <row r="640" spans="1:2" x14ac:dyDescent="0.3">
      <c r="A640" s="129">
        <v>44362</v>
      </c>
      <c r="B640" s="442">
        <v>25.45</v>
      </c>
    </row>
    <row r="641" spans="1:2" x14ac:dyDescent="0.3">
      <c r="A641" s="129">
        <v>44363</v>
      </c>
      <c r="B641" s="442">
        <v>25.475000000000001</v>
      </c>
    </row>
    <row r="642" spans="1:2" x14ac:dyDescent="0.3">
      <c r="A642" s="129">
        <v>44364</v>
      </c>
      <c r="B642" s="442">
        <v>25.51</v>
      </c>
    </row>
    <row r="643" spans="1:2" x14ac:dyDescent="0.3">
      <c r="A643" s="129">
        <v>44365</v>
      </c>
      <c r="B643" s="442">
        <v>25.52</v>
      </c>
    </row>
    <row r="644" spans="1:2" x14ac:dyDescent="0.3">
      <c r="A644" s="129">
        <v>44368</v>
      </c>
      <c r="B644" s="442">
        <v>25.57</v>
      </c>
    </row>
    <row r="645" spans="1:2" x14ac:dyDescent="0.3">
      <c r="A645" s="129">
        <v>44369</v>
      </c>
      <c r="B645" s="442">
        <v>25.535</v>
      </c>
    </row>
    <row r="646" spans="1:2" x14ac:dyDescent="0.3">
      <c r="A646" s="129">
        <v>44370</v>
      </c>
      <c r="B646" s="442">
        <v>25.41</v>
      </c>
    </row>
    <row r="647" spans="1:2" x14ac:dyDescent="0.3">
      <c r="A647" s="129">
        <v>44371</v>
      </c>
      <c r="B647" s="442">
        <v>25.43</v>
      </c>
    </row>
    <row r="648" spans="1:2" x14ac:dyDescent="0.3">
      <c r="A648" s="129">
        <v>44372</v>
      </c>
      <c r="B648" s="442">
        <v>25.484999999999999</v>
      </c>
    </row>
    <row r="649" spans="1:2" x14ac:dyDescent="0.3">
      <c r="A649" s="129">
        <v>44375</v>
      </c>
      <c r="B649" s="442">
        <v>25.5</v>
      </c>
    </row>
    <row r="650" spans="1:2" x14ac:dyDescent="0.3">
      <c r="A650" s="129">
        <v>44376</v>
      </c>
      <c r="B650" s="442">
        <v>25.48</v>
      </c>
    </row>
    <row r="651" spans="1:2" x14ac:dyDescent="0.3">
      <c r="A651" s="129">
        <v>44377</v>
      </c>
      <c r="B651" s="442">
        <v>25.484999999999999</v>
      </c>
    </row>
    <row r="652" spans="1:2" x14ac:dyDescent="0.3">
      <c r="A652" s="129" t="s">
        <v>629</v>
      </c>
      <c r="B652" s="442">
        <v>25.504999999999999</v>
      </c>
    </row>
    <row r="653" spans="1:2" x14ac:dyDescent="0.3">
      <c r="A653" s="129" t="s">
        <v>630</v>
      </c>
      <c r="B653" s="442">
        <v>25.605</v>
      </c>
    </row>
    <row r="654" spans="1:2" x14ac:dyDescent="0.3">
      <c r="A654" s="129">
        <v>44381</v>
      </c>
      <c r="B654" s="442">
        <v>25.605</v>
      </c>
    </row>
    <row r="655" spans="1:2" x14ac:dyDescent="0.3">
      <c r="A655" s="129" t="s">
        <v>631</v>
      </c>
      <c r="B655" s="442">
        <v>25.69</v>
      </c>
    </row>
    <row r="656" spans="1:2" x14ac:dyDescent="0.3">
      <c r="A656" s="129" t="s">
        <v>632</v>
      </c>
      <c r="B656" s="442">
        <v>25.895</v>
      </c>
    </row>
    <row r="657" spans="1:2" x14ac:dyDescent="0.3">
      <c r="A657" s="129" t="s">
        <v>633</v>
      </c>
      <c r="B657" s="442">
        <v>25.8</v>
      </c>
    </row>
    <row r="658" spans="1:2" x14ac:dyDescent="0.3">
      <c r="A658" s="129" t="s">
        <v>634</v>
      </c>
      <c r="B658" s="442">
        <v>25.725000000000001</v>
      </c>
    </row>
    <row r="659" spans="1:2" x14ac:dyDescent="0.3">
      <c r="A659" s="129" t="s">
        <v>635</v>
      </c>
      <c r="B659" s="442">
        <v>25.645</v>
      </c>
    </row>
    <row r="660" spans="1:2" x14ac:dyDescent="0.3">
      <c r="A660" s="129" t="s">
        <v>636</v>
      </c>
      <c r="B660" s="442">
        <v>25.645</v>
      </c>
    </row>
    <row r="661" spans="1:2" x14ac:dyDescent="0.3">
      <c r="A661" s="129" t="s">
        <v>637</v>
      </c>
      <c r="B661" s="442">
        <v>25.585000000000001</v>
      </c>
    </row>
    <row r="662" spans="1:2" x14ac:dyDescent="0.3">
      <c r="A662" s="129" t="s">
        <v>638</v>
      </c>
      <c r="B662" s="442">
        <v>25.535</v>
      </c>
    </row>
    <row r="663" spans="1:2" x14ac:dyDescent="0.3">
      <c r="A663" s="129" t="s">
        <v>639</v>
      </c>
      <c r="B663" s="442">
        <v>25.605</v>
      </c>
    </row>
    <row r="664" spans="1:2" x14ac:dyDescent="0.3">
      <c r="A664" s="129" t="s">
        <v>640</v>
      </c>
      <c r="B664" s="442">
        <v>25.655000000000001</v>
      </c>
    </row>
    <row r="665" spans="1:2" x14ac:dyDescent="0.3">
      <c r="A665" s="129" t="s">
        <v>641</v>
      </c>
      <c r="B665" s="442">
        <v>25.695</v>
      </c>
    </row>
    <row r="666" spans="1:2" x14ac:dyDescent="0.3">
      <c r="A666" s="129" t="s">
        <v>642</v>
      </c>
      <c r="B666" s="442">
        <v>25.64</v>
      </c>
    </row>
    <row r="667" spans="1:2" x14ac:dyDescent="0.3">
      <c r="A667" s="129" t="s">
        <v>643</v>
      </c>
      <c r="B667" s="442">
        <v>25.65</v>
      </c>
    </row>
    <row r="668" spans="1:2" x14ac:dyDescent="0.3">
      <c r="A668" s="129" t="s">
        <v>644</v>
      </c>
      <c r="B668" s="442">
        <v>25.63</v>
      </c>
    </row>
    <row r="669" spans="1:2" x14ac:dyDescent="0.3">
      <c r="A669" s="129" t="s">
        <v>645</v>
      </c>
      <c r="B669" s="442">
        <v>25.684999999999999</v>
      </c>
    </row>
    <row r="670" spans="1:2" x14ac:dyDescent="0.3">
      <c r="A670" s="129" t="s">
        <v>653</v>
      </c>
      <c r="B670" s="442">
        <v>25.625</v>
      </c>
    </row>
    <row r="671" spans="1:2" x14ac:dyDescent="0.3">
      <c r="A671" s="129" t="s">
        <v>654</v>
      </c>
      <c r="B671" s="442">
        <v>25.504999999999999</v>
      </c>
    </row>
    <row r="672" spans="1:2" x14ac:dyDescent="0.3">
      <c r="A672" s="129" t="s">
        <v>655</v>
      </c>
      <c r="B672" s="442">
        <v>25.5</v>
      </c>
    </row>
    <row r="673" spans="1:2" x14ac:dyDescent="0.3">
      <c r="A673" s="129">
        <v>44408</v>
      </c>
      <c r="B673" s="442">
        <v>25.5</v>
      </c>
    </row>
    <row r="674" spans="1:2" x14ac:dyDescent="0.3">
      <c r="A674" s="129" t="s">
        <v>656</v>
      </c>
      <c r="B674" s="442">
        <v>25.475000000000001</v>
      </c>
    </row>
    <row r="675" spans="1:2" x14ac:dyDescent="0.3">
      <c r="A675" s="129" t="s">
        <v>657</v>
      </c>
      <c r="B675" s="442">
        <v>25.484999999999999</v>
      </c>
    </row>
    <row r="676" spans="1:2" x14ac:dyDescent="0.3">
      <c r="A676" s="129" t="s">
        <v>658</v>
      </c>
      <c r="B676" s="442">
        <v>25.434999999999999</v>
      </c>
    </row>
    <row r="677" spans="1:2" x14ac:dyDescent="0.3">
      <c r="A677" s="129" t="s">
        <v>659</v>
      </c>
      <c r="B677" s="442">
        <v>25.414999999999999</v>
      </c>
    </row>
    <row r="678" spans="1:2" x14ac:dyDescent="0.3">
      <c r="A678" s="129" t="s">
        <v>660</v>
      </c>
      <c r="B678" s="442">
        <v>25.41</v>
      </c>
    </row>
    <row r="679" spans="1:2" x14ac:dyDescent="0.3">
      <c r="A679" s="129" t="s">
        <v>661</v>
      </c>
      <c r="B679" s="442">
        <v>25.39</v>
      </c>
    </row>
    <row r="680" spans="1:2" x14ac:dyDescent="0.3">
      <c r="A680" s="129" t="s">
        <v>662</v>
      </c>
      <c r="B680" s="442">
        <v>25.38</v>
      </c>
    </row>
    <row r="681" spans="1:2" x14ac:dyDescent="0.3">
      <c r="A681" s="129" t="s">
        <v>663</v>
      </c>
      <c r="B681" s="442">
        <v>25.405000000000001</v>
      </c>
    </row>
    <row r="682" spans="1:2" x14ac:dyDescent="0.3">
      <c r="A682" s="129" t="s">
        <v>664</v>
      </c>
      <c r="B682" s="442">
        <v>25.4</v>
      </c>
    </row>
    <row r="683" spans="1:2" x14ac:dyDescent="0.3">
      <c r="A683" s="129" t="s">
        <v>665</v>
      </c>
      <c r="B683" s="442">
        <v>25.385000000000002</v>
      </c>
    </row>
    <row r="684" spans="1:2" x14ac:dyDescent="0.3">
      <c r="A684" s="129" t="s">
        <v>666</v>
      </c>
      <c r="B684" s="442">
        <v>25.425000000000001</v>
      </c>
    </row>
    <row r="685" spans="1:2" x14ac:dyDescent="0.3">
      <c r="A685" s="129" t="s">
        <v>667</v>
      </c>
      <c r="B685" s="442">
        <v>25.44</v>
      </c>
    </row>
    <row r="686" spans="1:2" x14ac:dyDescent="0.3">
      <c r="A686" s="129" t="s">
        <v>668</v>
      </c>
      <c r="B686" s="442">
        <v>25.44</v>
      </c>
    </row>
    <row r="687" spans="1:2" x14ac:dyDescent="0.3">
      <c r="A687" s="129" t="s">
        <v>669</v>
      </c>
      <c r="B687" s="442">
        <v>25.5</v>
      </c>
    </row>
    <row r="688" spans="1:2" x14ac:dyDescent="0.3">
      <c r="A688" s="129" t="s">
        <v>670</v>
      </c>
      <c r="B688" s="442">
        <v>25.555</v>
      </c>
    </row>
    <row r="689" spans="1:2" x14ac:dyDescent="0.3">
      <c r="A689" s="129" t="s">
        <v>671</v>
      </c>
      <c r="B689" s="442">
        <v>25.515000000000001</v>
      </c>
    </row>
    <row r="690" spans="1:2" x14ac:dyDescent="0.3">
      <c r="A690" s="129" t="s">
        <v>672</v>
      </c>
      <c r="B690" s="442">
        <v>25.524999999999999</v>
      </c>
    </row>
    <row r="691" spans="1:2" x14ac:dyDescent="0.3">
      <c r="A691" s="129" t="s">
        <v>673</v>
      </c>
      <c r="B691" s="442">
        <v>25.53</v>
      </c>
    </row>
    <row r="692" spans="1:2" x14ac:dyDescent="0.3">
      <c r="A692" s="129" t="s">
        <v>674</v>
      </c>
      <c r="B692" s="442">
        <v>25.545000000000002</v>
      </c>
    </row>
    <row r="693" spans="1:2" x14ac:dyDescent="0.3">
      <c r="A693" s="129" t="s">
        <v>675</v>
      </c>
      <c r="B693" s="442">
        <v>25.56</v>
      </c>
    </row>
    <row r="694" spans="1:2" x14ac:dyDescent="0.3">
      <c r="A694" s="129" t="s">
        <v>676</v>
      </c>
      <c r="B694" s="442">
        <v>25.565000000000001</v>
      </c>
    </row>
    <row r="695" spans="1:2" x14ac:dyDescent="0.3">
      <c r="A695" s="129" t="s">
        <v>677</v>
      </c>
      <c r="B695" s="442">
        <v>25.524999999999999</v>
      </c>
    </row>
    <row r="696" spans="1:2" x14ac:dyDescent="0.3">
      <c r="A696" s="129" t="s">
        <v>678</v>
      </c>
      <c r="B696" s="442">
        <v>25.41</v>
      </c>
    </row>
    <row r="697" spans="1:2" x14ac:dyDescent="0.3">
      <c r="A697" s="129" t="s">
        <v>679</v>
      </c>
      <c r="B697" s="442">
        <v>25.38</v>
      </c>
    </row>
    <row r="698" spans="1:2" x14ac:dyDescent="0.3">
      <c r="A698" s="129" t="s">
        <v>680</v>
      </c>
      <c r="B698" s="442">
        <v>25.42</v>
      </c>
    </row>
    <row r="699" spans="1:2" x14ac:dyDescent="0.3">
      <c r="A699" s="129" t="s">
        <v>681</v>
      </c>
      <c r="B699" s="442">
        <v>25.4</v>
      </c>
    </row>
    <row r="700" spans="1:2" x14ac:dyDescent="0.3">
      <c r="A700" s="129" t="s">
        <v>682</v>
      </c>
      <c r="B700" s="442">
        <v>25.42</v>
      </c>
    </row>
    <row r="701" spans="1:2" x14ac:dyDescent="0.3">
      <c r="A701" s="129" t="s">
        <v>683</v>
      </c>
      <c r="B701" s="442">
        <v>25.395</v>
      </c>
    </row>
    <row r="702" spans="1:2" x14ac:dyDescent="0.3">
      <c r="A702" s="129" t="s">
        <v>684</v>
      </c>
      <c r="B702" s="442">
        <v>25.4</v>
      </c>
    </row>
    <row r="703" spans="1:2" x14ac:dyDescent="0.3">
      <c r="A703" s="129" t="s">
        <v>685</v>
      </c>
      <c r="B703" s="442">
        <v>25.29</v>
      </c>
    </row>
    <row r="704" spans="1:2" x14ac:dyDescent="0.3">
      <c r="A704" s="129" t="s">
        <v>686</v>
      </c>
      <c r="B704" s="442">
        <v>25.35</v>
      </c>
    </row>
    <row r="705" spans="1:2" x14ac:dyDescent="0.3">
      <c r="A705" s="129" t="s">
        <v>687</v>
      </c>
      <c r="B705" s="442">
        <v>25.39</v>
      </c>
    </row>
    <row r="706" spans="1:2" x14ac:dyDescent="0.3">
      <c r="A706" s="129" t="s">
        <v>688</v>
      </c>
      <c r="B706" s="442">
        <v>25.32</v>
      </c>
    </row>
    <row r="707" spans="1:2" x14ac:dyDescent="0.3">
      <c r="A707" s="129" t="s">
        <v>689</v>
      </c>
      <c r="B707" s="442">
        <v>25.28</v>
      </c>
    </row>
    <row r="708" spans="1:2" x14ac:dyDescent="0.3">
      <c r="A708" s="129" t="s">
        <v>690</v>
      </c>
      <c r="B708" s="442">
        <v>25.295000000000002</v>
      </c>
    </row>
    <row r="709" spans="1:2" x14ac:dyDescent="0.3">
      <c r="A709" s="129" t="s">
        <v>691</v>
      </c>
      <c r="B709" s="442">
        <v>25.43</v>
      </c>
    </row>
    <row r="710" spans="1:2" x14ac:dyDescent="0.3">
      <c r="A710" s="129" t="s">
        <v>692</v>
      </c>
      <c r="B710" s="442">
        <v>25.405000000000001</v>
      </c>
    </row>
    <row r="711" spans="1:2" x14ac:dyDescent="0.3">
      <c r="A711" s="129" t="s">
        <v>693</v>
      </c>
      <c r="B711" s="442">
        <v>25.38</v>
      </c>
    </row>
    <row r="712" spans="1:2" x14ac:dyDescent="0.3">
      <c r="A712" s="129" t="s">
        <v>694</v>
      </c>
      <c r="B712" s="442">
        <v>25.355</v>
      </c>
    </row>
    <row r="713" spans="1:2" x14ac:dyDescent="0.3">
      <c r="A713" s="129" t="s">
        <v>695</v>
      </c>
      <c r="B713" s="442">
        <v>25.41</v>
      </c>
    </row>
    <row r="714" spans="1:2" x14ac:dyDescent="0.3">
      <c r="A714" s="129" t="s">
        <v>696</v>
      </c>
      <c r="B714" s="442">
        <v>25.445</v>
      </c>
    </row>
    <row r="715" spans="1:2" x14ac:dyDescent="0.3">
      <c r="A715" s="129" t="s">
        <v>697</v>
      </c>
      <c r="B715" s="442">
        <v>25.454999999999998</v>
      </c>
    </row>
    <row r="716" spans="1:2" x14ac:dyDescent="0.3">
      <c r="A716" s="129" t="s">
        <v>698</v>
      </c>
      <c r="B716" s="442">
        <v>25.495000000000001</v>
      </c>
    </row>
    <row r="717" spans="1:2" x14ac:dyDescent="0.3">
      <c r="A717" s="129" t="s">
        <v>699</v>
      </c>
      <c r="B717" s="442">
        <v>25.31</v>
      </c>
    </row>
    <row r="718" spans="1:2" x14ac:dyDescent="0.3">
      <c r="A718" s="129" t="s">
        <v>700</v>
      </c>
      <c r="B718" s="442">
        <v>25.32</v>
      </c>
    </row>
    <row r="719" spans="1:2" x14ac:dyDescent="0.3">
      <c r="A719" s="129" t="s">
        <v>701</v>
      </c>
      <c r="B719" s="442">
        <v>25.31</v>
      </c>
    </row>
    <row r="720" spans="1:2" x14ac:dyDescent="0.3">
      <c r="A720" s="129" t="s">
        <v>702</v>
      </c>
      <c r="B720" s="442">
        <v>25.414999999999999</v>
      </c>
    </row>
    <row r="721" spans="1:2" x14ac:dyDescent="0.3">
      <c r="A721" s="129" t="s">
        <v>703</v>
      </c>
      <c r="B721" s="442">
        <v>25.41</v>
      </c>
    </row>
    <row r="722" spans="1:2" x14ac:dyDescent="0.3">
      <c r="A722" s="129" t="s">
        <v>704</v>
      </c>
      <c r="B722" s="442">
        <v>25.434999999999999</v>
      </c>
    </row>
    <row r="723" spans="1:2" x14ac:dyDescent="0.3">
      <c r="A723" s="129" t="s">
        <v>705</v>
      </c>
      <c r="B723" s="442">
        <v>25.4</v>
      </c>
    </row>
    <row r="724" spans="1:2" x14ac:dyDescent="0.3">
      <c r="A724" s="129" t="s">
        <v>706</v>
      </c>
      <c r="B724" s="442">
        <v>25.375</v>
      </c>
    </row>
    <row r="725" spans="1:2" x14ac:dyDescent="0.3">
      <c r="A725" s="129" t="s">
        <v>707</v>
      </c>
      <c r="B725" s="442">
        <v>25.37</v>
      </c>
    </row>
    <row r="726" spans="1:2" x14ac:dyDescent="0.3">
      <c r="A726" s="129" t="s">
        <v>708</v>
      </c>
      <c r="B726" s="442">
        <v>25.385000000000002</v>
      </c>
    </row>
    <row r="727" spans="1:2" x14ac:dyDescent="0.3">
      <c r="A727" s="129" t="s">
        <v>709</v>
      </c>
      <c r="B727" s="442">
        <v>25.405000000000001</v>
      </c>
    </row>
    <row r="728" spans="1:2" x14ac:dyDescent="0.3">
      <c r="A728" s="129" t="s">
        <v>710</v>
      </c>
      <c r="B728" s="442">
        <v>25.45</v>
      </c>
    </row>
    <row r="729" spans="1:2" x14ac:dyDescent="0.3">
      <c r="A729" s="129" t="s">
        <v>711</v>
      </c>
      <c r="B729" s="442">
        <v>25.504999999999999</v>
      </c>
    </row>
    <row r="730" spans="1:2" x14ac:dyDescent="0.3">
      <c r="A730" s="129" t="s">
        <v>712</v>
      </c>
      <c r="B730" s="442">
        <v>25.52</v>
      </c>
    </row>
    <row r="731" spans="1:2" x14ac:dyDescent="0.3">
      <c r="A731" s="129" t="s">
        <v>713</v>
      </c>
      <c r="B731" s="442">
        <v>25.614999999999998</v>
      </c>
    </row>
    <row r="732" spans="1:2" x14ac:dyDescent="0.3">
      <c r="A732" s="129" t="s">
        <v>714</v>
      </c>
      <c r="B732" s="442">
        <v>25.655000000000001</v>
      </c>
    </row>
    <row r="733" spans="1:2" x14ac:dyDescent="0.3">
      <c r="A733" s="129" t="s">
        <v>715</v>
      </c>
      <c r="B733" s="442">
        <v>25.734999999999999</v>
      </c>
    </row>
    <row r="734" spans="1:2" x14ac:dyDescent="0.3">
      <c r="A734" s="129" t="s">
        <v>716</v>
      </c>
      <c r="B734" s="442">
        <v>25.7</v>
      </c>
    </row>
    <row r="735" spans="1:2" x14ac:dyDescent="0.3">
      <c r="A735" s="129" t="s">
        <v>717</v>
      </c>
      <c r="B735" s="442">
        <v>25.684999999999999</v>
      </c>
    </row>
    <row r="736" spans="1:2" x14ac:dyDescent="0.3">
      <c r="A736" s="129" t="s">
        <v>718</v>
      </c>
      <c r="B736" s="442">
        <v>25.695</v>
      </c>
    </row>
    <row r="737" spans="1:2" x14ac:dyDescent="0.3">
      <c r="A737" s="129">
        <v>44500</v>
      </c>
      <c r="B737" s="442">
        <v>25.695</v>
      </c>
    </row>
    <row r="738" spans="1:2" x14ac:dyDescent="0.3">
      <c r="A738" s="129" t="s">
        <v>719</v>
      </c>
      <c r="B738" s="442">
        <v>25.635000000000002</v>
      </c>
    </row>
    <row r="739" spans="1:2" x14ac:dyDescent="0.3">
      <c r="A739" s="129" t="s">
        <v>720</v>
      </c>
      <c r="B739" s="442">
        <v>25.57</v>
      </c>
    </row>
    <row r="740" spans="1:2" x14ac:dyDescent="0.3">
      <c r="A740" s="129" t="s">
        <v>721</v>
      </c>
      <c r="B740" s="442">
        <v>25.545000000000002</v>
      </c>
    </row>
    <row r="741" spans="1:2" x14ac:dyDescent="0.3">
      <c r="A741" s="129" t="s">
        <v>722</v>
      </c>
      <c r="B741" s="442">
        <v>25.48</v>
      </c>
    </row>
    <row r="742" spans="1:2" x14ac:dyDescent="0.3">
      <c r="A742" s="129" t="s">
        <v>723</v>
      </c>
      <c r="B742" s="442">
        <v>25.274999999999999</v>
      </c>
    </row>
    <row r="743" spans="1:2" x14ac:dyDescent="0.3">
      <c r="A743" s="129" t="s">
        <v>724</v>
      </c>
      <c r="B743" s="442">
        <v>25.25</v>
      </c>
    </row>
    <row r="744" spans="1:2" x14ac:dyDescent="0.3">
      <c r="A744" s="129" t="s">
        <v>725</v>
      </c>
      <c r="B744" s="442">
        <v>25.195</v>
      </c>
    </row>
    <row r="745" spans="1:2" x14ac:dyDescent="0.3">
      <c r="A745" s="129" t="s">
        <v>726</v>
      </c>
      <c r="B745" s="442">
        <v>25.21</v>
      </c>
    </row>
    <row r="746" spans="1:2" x14ac:dyDescent="0.3">
      <c r="A746" s="129" t="s">
        <v>727</v>
      </c>
      <c r="B746" s="442">
        <v>25.254999999999999</v>
      </c>
    </row>
    <row r="747" spans="1:2" x14ac:dyDescent="0.3">
      <c r="A747" s="129" t="s">
        <v>728</v>
      </c>
      <c r="B747" s="442">
        <v>25.24</v>
      </c>
    </row>
    <row r="748" spans="1:2" x14ac:dyDescent="0.3">
      <c r="A748" s="129" t="s">
        <v>729</v>
      </c>
      <c r="B748" s="442">
        <v>25.215</v>
      </c>
    </row>
    <row r="749" spans="1:2" x14ac:dyDescent="0.3">
      <c r="A749" s="129" t="s">
        <v>730</v>
      </c>
      <c r="B749" s="442">
        <v>25.23</v>
      </c>
    </row>
    <row r="750" spans="1:2" x14ac:dyDescent="0.3">
      <c r="A750" s="129" t="s">
        <v>731</v>
      </c>
      <c r="B750" s="442">
        <v>25.23</v>
      </c>
    </row>
    <row r="751" spans="1:2" x14ac:dyDescent="0.3">
      <c r="A751" s="129" t="s">
        <v>732</v>
      </c>
      <c r="B751" s="442">
        <v>25.414999999999999</v>
      </c>
    </row>
    <row r="752" spans="1:2" x14ac:dyDescent="0.3">
      <c r="A752" s="129" t="s">
        <v>733</v>
      </c>
      <c r="B752" s="442">
        <v>25.375</v>
      </c>
    </row>
    <row r="753" spans="1:2" x14ac:dyDescent="0.3">
      <c r="A753" s="129" t="s">
        <v>734</v>
      </c>
      <c r="B753" s="442">
        <v>25.445</v>
      </c>
    </row>
    <row r="754" spans="1:2" x14ac:dyDescent="0.3">
      <c r="A754" s="129" t="s">
        <v>735</v>
      </c>
      <c r="B754" s="442">
        <v>25.5</v>
      </c>
    </row>
    <row r="755" spans="1:2" x14ac:dyDescent="0.3">
      <c r="A755" s="129" t="s">
        <v>736</v>
      </c>
      <c r="B755" s="442">
        <v>25.475000000000001</v>
      </c>
    </row>
    <row r="756" spans="1:2" x14ac:dyDescent="0.3">
      <c r="A756" s="129" t="s">
        <v>737</v>
      </c>
      <c r="B756" s="442">
        <v>25.664999999999999</v>
      </c>
    </row>
    <row r="757" spans="1:2" x14ac:dyDescent="0.3">
      <c r="A757" s="129" t="s">
        <v>738</v>
      </c>
      <c r="B757" s="442">
        <v>25.67</v>
      </c>
    </row>
    <row r="758" spans="1:2" x14ac:dyDescent="0.3">
      <c r="A758" s="129" t="s">
        <v>739</v>
      </c>
      <c r="B758" s="442">
        <v>25.524999999999999</v>
      </c>
    </row>
    <row r="759" spans="1:2" x14ac:dyDescent="0.3">
      <c r="A759" s="129" t="s">
        <v>740</v>
      </c>
      <c r="B759" s="442">
        <v>25.445</v>
      </c>
    </row>
    <row r="760" spans="1:2" x14ac:dyDescent="0.3">
      <c r="A760" s="129" t="s">
        <v>741</v>
      </c>
      <c r="B760" s="442">
        <v>25.42</v>
      </c>
    </row>
    <row r="761" spans="1:2" x14ac:dyDescent="0.3">
      <c r="A761" s="129" t="s">
        <v>742</v>
      </c>
      <c r="B761" s="442">
        <v>25.414999999999999</v>
      </c>
    </row>
    <row r="762" spans="1:2" x14ac:dyDescent="0.3">
      <c r="A762" s="129" t="s">
        <v>743</v>
      </c>
      <c r="B762" s="442">
        <v>25.42</v>
      </c>
    </row>
    <row r="763" spans="1:2" x14ac:dyDescent="0.3">
      <c r="A763" s="129" t="s">
        <v>744</v>
      </c>
      <c r="B763" s="442">
        <v>25.465</v>
      </c>
    </row>
    <row r="764" spans="1:2" x14ac:dyDescent="0.3">
      <c r="A764" s="129" t="s">
        <v>745</v>
      </c>
      <c r="B764" s="442">
        <v>25.475000000000001</v>
      </c>
    </row>
    <row r="765" spans="1:2" x14ac:dyDescent="0.3">
      <c r="A765" s="129" t="s">
        <v>746</v>
      </c>
      <c r="B765" s="442">
        <v>25.434999999999999</v>
      </c>
    </row>
    <row r="766" spans="1:2" x14ac:dyDescent="0.3">
      <c r="A766" s="129" t="s">
        <v>747</v>
      </c>
      <c r="B766" s="442">
        <v>25.364999999999998</v>
      </c>
    </row>
    <row r="767" spans="1:2" x14ac:dyDescent="0.3">
      <c r="A767" s="129" t="s">
        <v>748</v>
      </c>
      <c r="B767" s="442">
        <v>25.405000000000001</v>
      </c>
    </row>
    <row r="768" spans="1:2" x14ac:dyDescent="0.3">
      <c r="A768" s="129" t="s">
        <v>749</v>
      </c>
      <c r="B768" s="442">
        <v>25.335000000000001</v>
      </c>
    </row>
    <row r="769" spans="1:2" x14ac:dyDescent="0.3">
      <c r="A769" s="129" t="s">
        <v>750</v>
      </c>
      <c r="B769" s="442">
        <v>25.27</v>
      </c>
    </row>
    <row r="770" spans="1:2" x14ac:dyDescent="0.3">
      <c r="A770" s="129" t="s">
        <v>751</v>
      </c>
      <c r="B770" s="442">
        <v>25.28</v>
      </c>
    </row>
    <row r="771" spans="1:2" x14ac:dyDescent="0.3">
      <c r="A771" s="129" t="s">
        <v>752</v>
      </c>
      <c r="B771" s="442">
        <v>25.26</v>
      </c>
    </row>
    <row r="772" spans="1:2" x14ac:dyDescent="0.3">
      <c r="A772" s="129" t="s">
        <v>753</v>
      </c>
      <c r="B772" s="442">
        <v>25.234999999999999</v>
      </c>
    </row>
    <row r="773" spans="1:2" x14ac:dyDescent="0.3">
      <c r="A773" s="129" t="s">
        <v>754</v>
      </c>
      <c r="B773" s="442">
        <v>25.24</v>
      </c>
    </row>
    <row r="774" spans="1:2" x14ac:dyDescent="0.3">
      <c r="A774" s="129" t="s">
        <v>755</v>
      </c>
      <c r="B774" s="442">
        <v>25.245000000000001</v>
      </c>
    </row>
    <row r="775" spans="1:2" x14ac:dyDescent="0.3">
      <c r="A775" s="129" t="s">
        <v>756</v>
      </c>
      <c r="B775" s="442">
        <v>25.085000000000001</v>
      </c>
    </row>
    <row r="776" spans="1:2" x14ac:dyDescent="0.3">
      <c r="A776" s="129" t="s">
        <v>757</v>
      </c>
      <c r="B776" s="442">
        <v>25.14</v>
      </c>
    </row>
    <row r="777" spans="1:2" x14ac:dyDescent="0.3">
      <c r="A777" s="129" t="s">
        <v>758</v>
      </c>
      <c r="B777" s="442">
        <v>24.98</v>
      </c>
    </row>
    <row r="778" spans="1:2" x14ac:dyDescent="0.3">
      <c r="A778" s="129" t="s">
        <v>759</v>
      </c>
      <c r="B778" s="442">
        <v>24.96</v>
      </c>
    </row>
    <row r="779" spans="1:2" x14ac:dyDescent="0.3">
      <c r="A779" s="129" t="s">
        <v>760</v>
      </c>
      <c r="B779" s="442">
        <v>24.914999999999999</v>
      </c>
    </row>
    <row r="780" spans="1:2" x14ac:dyDescent="0.3">
      <c r="A780" s="129" t="s">
        <v>761</v>
      </c>
      <c r="B780" s="442">
        <v>24.86</v>
      </c>
    </row>
    <row r="781" spans="1:2" x14ac:dyDescent="0.3">
      <c r="A781" s="129">
        <v>44562</v>
      </c>
      <c r="B781" s="442">
        <v>24.86</v>
      </c>
    </row>
    <row r="782" spans="1:2" x14ac:dyDescent="0.3">
      <c r="A782" s="129" t="s">
        <v>1148</v>
      </c>
      <c r="B782" s="442">
        <v>24.82</v>
      </c>
    </row>
    <row r="783" spans="1:2" x14ac:dyDescent="0.3">
      <c r="A783" s="129" t="s">
        <v>1149</v>
      </c>
      <c r="B783" s="442">
        <v>24.75</v>
      </c>
    </row>
    <row r="784" spans="1:2" x14ac:dyDescent="0.3">
      <c r="A784" s="129" t="s">
        <v>1046</v>
      </c>
      <c r="B784" s="442">
        <v>24.58</v>
      </c>
    </row>
    <row r="785" spans="1:2" x14ac:dyDescent="0.3">
      <c r="A785" s="129" t="s">
        <v>1150</v>
      </c>
      <c r="B785" s="442">
        <v>24.53</v>
      </c>
    </row>
    <row r="786" spans="1:2" x14ac:dyDescent="0.3">
      <c r="A786" s="129" t="s">
        <v>1151</v>
      </c>
      <c r="B786" s="442">
        <v>24.44</v>
      </c>
    </row>
    <row r="787" spans="1:2" x14ac:dyDescent="0.3">
      <c r="A787" s="129">
        <v>44570</v>
      </c>
      <c r="B787" s="442">
        <v>24.44</v>
      </c>
    </row>
    <row r="788" spans="1:2" x14ac:dyDescent="0.3">
      <c r="A788" s="129" t="s">
        <v>1152</v>
      </c>
      <c r="B788" s="442">
        <v>24.36</v>
      </c>
    </row>
    <row r="789" spans="1:2" x14ac:dyDescent="0.3">
      <c r="A789" s="129" t="s">
        <v>1153</v>
      </c>
      <c r="B789" s="442">
        <v>24.414999999999999</v>
      </c>
    </row>
    <row r="790" spans="1:2" x14ac:dyDescent="0.3">
      <c r="A790" s="129" t="s">
        <v>1154</v>
      </c>
      <c r="B790" s="442">
        <v>24.42</v>
      </c>
    </row>
    <row r="791" spans="1:2" x14ac:dyDescent="0.3">
      <c r="A791" s="129" t="s">
        <v>1155</v>
      </c>
      <c r="B791" s="442">
        <v>24.46</v>
      </c>
    </row>
    <row r="792" spans="1:2" x14ac:dyDescent="0.3">
      <c r="A792" s="129">
        <v>44576</v>
      </c>
      <c r="B792" s="442">
        <v>24.46</v>
      </c>
    </row>
    <row r="793" spans="1:2" x14ac:dyDescent="0.3">
      <c r="A793" s="129" t="s">
        <v>1156</v>
      </c>
      <c r="B793" s="442">
        <v>24.495000000000001</v>
      </c>
    </row>
    <row r="794" spans="1:2" x14ac:dyDescent="0.3">
      <c r="A794" s="129" t="s">
        <v>1157</v>
      </c>
      <c r="B794" s="442">
        <v>24.47</v>
      </c>
    </row>
    <row r="795" spans="1:2" x14ac:dyDescent="0.3">
      <c r="A795" s="129" t="s">
        <v>1158</v>
      </c>
      <c r="B795" s="442">
        <v>24.425000000000001</v>
      </c>
    </row>
    <row r="796" spans="1:2" x14ac:dyDescent="0.3">
      <c r="A796" s="129" t="s">
        <v>1159</v>
      </c>
      <c r="B796" s="442">
        <v>24.31</v>
      </c>
    </row>
    <row r="797" spans="1:2" x14ac:dyDescent="0.3">
      <c r="A797" s="129" t="s">
        <v>1160</v>
      </c>
      <c r="B797" s="442">
        <v>24.26</v>
      </c>
    </row>
    <row r="798" spans="1:2" x14ac:dyDescent="0.3">
      <c r="A798" s="129" t="s">
        <v>1047</v>
      </c>
      <c r="B798" s="442">
        <v>24.344999999999999</v>
      </c>
    </row>
    <row r="799" spans="1:2" x14ac:dyDescent="0.3">
      <c r="A799" s="129" t="s">
        <v>1048</v>
      </c>
      <c r="B799" s="442">
        <v>24.524999999999999</v>
      </c>
    </row>
    <row r="800" spans="1:2" x14ac:dyDescent="0.3">
      <c r="A800" s="129" t="s">
        <v>1161</v>
      </c>
      <c r="B800" s="442">
        <v>24.495000000000001</v>
      </c>
    </row>
    <row r="801" spans="1:2" x14ac:dyDescent="0.3">
      <c r="A801" s="129" t="s">
        <v>1162</v>
      </c>
      <c r="B801" s="442">
        <v>24.52</v>
      </c>
    </row>
    <row r="802" spans="1:2" x14ac:dyDescent="0.3">
      <c r="A802" s="129" t="s">
        <v>1049</v>
      </c>
      <c r="B802" s="442">
        <v>24.43</v>
      </c>
    </row>
    <row r="803" spans="1:2" x14ac:dyDescent="0.3">
      <c r="A803" s="129" t="s">
        <v>1163</v>
      </c>
      <c r="B803" s="442">
        <v>24.434999999999999</v>
      </c>
    </row>
    <row r="804" spans="1:2" x14ac:dyDescent="0.3">
      <c r="A804" s="129" t="s">
        <v>1051</v>
      </c>
      <c r="B804" s="442">
        <v>24.364999999999998</v>
      </c>
    </row>
    <row r="805" spans="1:2" x14ac:dyDescent="0.3">
      <c r="A805" s="129" t="s">
        <v>1164</v>
      </c>
      <c r="B805" s="442">
        <v>24.335000000000001</v>
      </c>
    </row>
    <row r="806" spans="1:2" x14ac:dyDescent="0.3">
      <c r="A806" s="129" t="s">
        <v>1165</v>
      </c>
      <c r="B806" s="442">
        <v>24.3</v>
      </c>
    </row>
    <row r="807" spans="1:2" x14ac:dyDescent="0.3">
      <c r="A807" s="129" t="s">
        <v>1166</v>
      </c>
      <c r="B807" s="442">
        <v>24.15</v>
      </c>
    </row>
    <row r="808" spans="1:2" x14ac:dyDescent="0.3">
      <c r="A808" s="129" t="s">
        <v>1167</v>
      </c>
      <c r="B808" s="442">
        <v>24.36</v>
      </c>
    </row>
    <row r="809" spans="1:2" x14ac:dyDescent="0.3">
      <c r="A809" s="129" t="s">
        <v>1168</v>
      </c>
      <c r="B809" s="442">
        <v>24.24</v>
      </c>
    </row>
    <row r="810" spans="1:2" x14ac:dyDescent="0.3">
      <c r="A810" s="129" t="s">
        <v>1056</v>
      </c>
      <c r="B810" s="442">
        <v>24.26</v>
      </c>
    </row>
    <row r="811" spans="1:2" x14ac:dyDescent="0.3">
      <c r="A811" s="129" t="s">
        <v>1169</v>
      </c>
      <c r="B811" s="442">
        <v>24.29</v>
      </c>
    </row>
    <row r="812" spans="1:2" x14ac:dyDescent="0.3">
      <c r="A812" s="129" t="s">
        <v>1057</v>
      </c>
      <c r="B812" s="442">
        <v>24.35</v>
      </c>
    </row>
    <row r="813" spans="1:2" x14ac:dyDescent="0.3">
      <c r="A813" s="129" t="s">
        <v>1170</v>
      </c>
      <c r="B813" s="442">
        <v>24.405000000000001</v>
      </c>
    </row>
    <row r="814" spans="1:2" x14ac:dyDescent="0.3">
      <c r="A814" s="129">
        <v>44605</v>
      </c>
      <c r="B814" s="442">
        <v>24.405000000000001</v>
      </c>
    </row>
    <row r="815" spans="1:2" x14ac:dyDescent="0.3">
      <c r="A815" s="129" t="s">
        <v>1171</v>
      </c>
      <c r="B815" s="442">
        <v>24.535</v>
      </c>
    </row>
    <row r="816" spans="1:2" x14ac:dyDescent="0.3">
      <c r="A816" s="129" t="s">
        <v>1172</v>
      </c>
      <c r="B816" s="442">
        <v>24.42</v>
      </c>
    </row>
    <row r="817" spans="1:2" x14ac:dyDescent="0.3">
      <c r="A817" s="129" t="s">
        <v>1173</v>
      </c>
      <c r="B817" s="442">
        <v>24.364999999999998</v>
      </c>
    </row>
    <row r="818" spans="1:2" x14ac:dyDescent="0.3">
      <c r="A818" s="129" t="s">
        <v>1059</v>
      </c>
      <c r="B818" s="442">
        <v>24.38</v>
      </c>
    </row>
    <row r="819" spans="1:2" x14ac:dyDescent="0.3">
      <c r="A819" s="129" t="s">
        <v>1174</v>
      </c>
      <c r="B819" s="442">
        <v>24.34</v>
      </c>
    </row>
    <row r="820" spans="1:2" x14ac:dyDescent="0.3">
      <c r="A820" s="129" t="s">
        <v>1175</v>
      </c>
      <c r="B820" s="442">
        <v>24.35</v>
      </c>
    </row>
    <row r="821" spans="1:2" x14ac:dyDescent="0.3">
      <c r="A821" s="129" t="s">
        <v>1176</v>
      </c>
      <c r="B821" s="442">
        <v>24.5</v>
      </c>
    </row>
    <row r="822" spans="1:2" x14ac:dyDescent="0.3">
      <c r="A822" s="129" t="s">
        <v>1060</v>
      </c>
      <c r="B822" s="442">
        <v>24.475000000000001</v>
      </c>
    </row>
    <row r="823" spans="1:2" x14ac:dyDescent="0.3">
      <c r="A823" s="129" t="s">
        <v>1065</v>
      </c>
      <c r="B823" s="442">
        <v>25.065000000000001</v>
      </c>
    </row>
    <row r="824" spans="1:2" x14ac:dyDescent="0.3">
      <c r="A824" s="129" t="s">
        <v>1177</v>
      </c>
      <c r="B824" s="442">
        <v>24.66</v>
      </c>
    </row>
    <row r="825" spans="1:2" x14ac:dyDescent="0.3">
      <c r="A825" s="129" t="s">
        <v>1066</v>
      </c>
      <c r="B825" s="442">
        <v>24.995000000000001</v>
      </c>
    </row>
    <row r="826" spans="1:2" x14ac:dyDescent="0.3">
      <c r="A826" s="129" t="s">
        <v>1178</v>
      </c>
      <c r="B826" s="442">
        <v>25.465</v>
      </c>
    </row>
    <row r="827" spans="1:2" x14ac:dyDescent="0.3">
      <c r="A827" s="129" t="s">
        <v>1179</v>
      </c>
      <c r="B827" s="442">
        <v>25.864999999999998</v>
      </c>
    </row>
    <row r="828" spans="1:2" x14ac:dyDescent="0.3">
      <c r="A828" s="129" t="s">
        <v>1180</v>
      </c>
      <c r="B828" s="442">
        <v>25.645</v>
      </c>
    </row>
    <row r="829" spans="1:2" x14ac:dyDescent="0.3">
      <c r="A829" s="129" t="s">
        <v>1181</v>
      </c>
      <c r="B829" s="442">
        <v>25.734999999999999</v>
      </c>
    </row>
    <row r="830" spans="1:2" x14ac:dyDescent="0.3">
      <c r="A830" s="129" t="s">
        <v>1182</v>
      </c>
      <c r="B830" s="442">
        <v>25.585000000000001</v>
      </c>
    </row>
    <row r="831" spans="1:2" x14ac:dyDescent="0.3">
      <c r="A831" s="129" t="s">
        <v>1068</v>
      </c>
      <c r="B831" s="442">
        <v>25.64</v>
      </c>
    </row>
    <row r="832" spans="1:2" x14ac:dyDescent="0.3">
      <c r="A832" s="129" t="s">
        <v>1183</v>
      </c>
      <c r="B832" s="442">
        <v>25.364999999999998</v>
      </c>
    </row>
    <row r="833" spans="1:2" x14ac:dyDescent="0.3">
      <c r="A833" s="129" t="s">
        <v>1070</v>
      </c>
      <c r="B833" s="442">
        <v>25.315000000000001</v>
      </c>
    </row>
    <row r="834" spans="1:2" x14ac:dyDescent="0.3">
      <c r="A834" s="129" t="s">
        <v>1072</v>
      </c>
      <c r="B834" s="442">
        <v>25.21</v>
      </c>
    </row>
    <row r="835" spans="1:2" x14ac:dyDescent="0.3">
      <c r="A835" s="129">
        <v>44633</v>
      </c>
      <c r="B835" s="442">
        <v>25.21</v>
      </c>
    </row>
    <row r="836" spans="1:2" x14ac:dyDescent="0.3">
      <c r="A836" s="129" t="s">
        <v>1073</v>
      </c>
      <c r="B836" s="442">
        <v>24.89</v>
      </c>
    </row>
    <row r="837" spans="1:2" x14ac:dyDescent="0.3">
      <c r="A837" s="129" t="s">
        <v>1184</v>
      </c>
      <c r="B837" s="442">
        <v>24.864999999999998</v>
      </c>
    </row>
    <row r="838" spans="1:2" x14ac:dyDescent="0.3">
      <c r="A838" s="129" t="s">
        <v>1185</v>
      </c>
      <c r="B838" s="442">
        <v>24.684999999999999</v>
      </c>
    </row>
    <row r="839" spans="1:2" x14ac:dyDescent="0.3">
      <c r="A839" s="129" t="s">
        <v>1075</v>
      </c>
      <c r="B839" s="442">
        <v>24.774999999999999</v>
      </c>
    </row>
    <row r="840" spans="1:2" x14ac:dyDescent="0.3">
      <c r="A840" s="129" t="s">
        <v>1186</v>
      </c>
      <c r="B840" s="442">
        <v>24.84</v>
      </c>
    </row>
    <row r="841" spans="1:2" x14ac:dyDescent="0.3">
      <c r="A841" s="129" t="s">
        <v>1187</v>
      </c>
      <c r="B841" s="442">
        <v>24.684999999999999</v>
      </c>
    </row>
    <row r="842" spans="1:2" x14ac:dyDescent="0.3">
      <c r="A842" s="129" t="s">
        <v>1188</v>
      </c>
      <c r="B842" s="442">
        <v>24.68</v>
      </c>
    </row>
    <row r="843" spans="1:2" x14ac:dyDescent="0.3">
      <c r="A843" s="129" t="s">
        <v>1189</v>
      </c>
      <c r="B843" s="442">
        <v>24.605</v>
      </c>
    </row>
    <row r="844" spans="1:2" x14ac:dyDescent="0.3">
      <c r="A844" s="129" t="s">
        <v>1190</v>
      </c>
      <c r="B844" s="442">
        <v>24.72</v>
      </c>
    </row>
    <row r="845" spans="1:2" x14ac:dyDescent="0.3">
      <c r="A845" s="129" t="s">
        <v>1077</v>
      </c>
      <c r="B845" s="442">
        <v>24.645</v>
      </c>
    </row>
    <row r="846" spans="1:2" x14ac:dyDescent="0.3">
      <c r="A846" s="129" t="s">
        <v>1191</v>
      </c>
      <c r="B846" s="442">
        <v>24.65</v>
      </c>
    </row>
    <row r="847" spans="1:2" x14ac:dyDescent="0.3">
      <c r="A847" s="129" t="s">
        <v>1192</v>
      </c>
      <c r="B847" s="442">
        <v>24.475000000000001</v>
      </c>
    </row>
    <row r="848" spans="1:2" x14ac:dyDescent="0.3">
      <c r="A848" s="129" t="s">
        <v>1193</v>
      </c>
      <c r="B848" s="442">
        <v>24.46</v>
      </c>
    </row>
    <row r="849" spans="1:2" x14ac:dyDescent="0.3">
      <c r="A849" s="129" t="s">
        <v>1079</v>
      </c>
      <c r="B849" s="442">
        <v>24.385000000000002</v>
      </c>
    </row>
    <row r="850" spans="1:2" x14ac:dyDescent="0.3">
      <c r="A850" s="129" t="s">
        <v>1194</v>
      </c>
      <c r="B850" s="442">
        <v>24.375</v>
      </c>
    </row>
    <row r="851" spans="1:2" x14ac:dyDescent="0.3">
      <c r="A851" s="129" t="s">
        <v>1195</v>
      </c>
      <c r="B851" s="442">
        <v>24.32</v>
      </c>
    </row>
    <row r="852" spans="1:2" x14ac:dyDescent="0.3">
      <c r="A852" s="129" t="s">
        <v>1196</v>
      </c>
      <c r="B852" s="442">
        <v>24.34</v>
      </c>
    </row>
    <row r="853" spans="1:2" x14ac:dyDescent="0.3">
      <c r="A853" s="129" t="s">
        <v>1197</v>
      </c>
      <c r="B853" s="442">
        <v>24.44</v>
      </c>
    </row>
    <row r="854" spans="1:2" x14ac:dyDescent="0.3">
      <c r="A854" s="129" t="s">
        <v>1086</v>
      </c>
      <c r="B854" s="442">
        <v>24.515000000000001</v>
      </c>
    </row>
    <row r="855" spans="1:2" x14ac:dyDescent="0.3">
      <c r="A855" s="129" t="s">
        <v>1088</v>
      </c>
      <c r="B855" s="442">
        <v>24.484999999999999</v>
      </c>
    </row>
    <row r="856" spans="1:2" x14ac:dyDescent="0.3">
      <c r="A856" s="129" t="s">
        <v>1091</v>
      </c>
      <c r="B856" s="442">
        <v>24.43</v>
      </c>
    </row>
    <row r="857" spans="1:2" x14ac:dyDescent="0.3">
      <c r="A857" s="129" t="s">
        <v>1198</v>
      </c>
      <c r="B857" s="442">
        <v>24.45</v>
      </c>
    </row>
    <row r="858" spans="1:2" x14ac:dyDescent="0.3">
      <c r="A858" s="129" t="s">
        <v>1199</v>
      </c>
      <c r="B858" s="442">
        <v>24.45</v>
      </c>
    </row>
    <row r="859" spans="1:2" x14ac:dyDescent="0.3">
      <c r="A859" s="129" t="s">
        <v>1093</v>
      </c>
      <c r="B859" s="442">
        <v>24.42</v>
      </c>
    </row>
    <row r="860" spans="1:2" x14ac:dyDescent="0.3">
      <c r="A860" s="129">
        <v>44666</v>
      </c>
      <c r="B860" s="442">
        <v>24.42</v>
      </c>
    </row>
    <row r="861" spans="1:2" x14ac:dyDescent="0.3">
      <c r="A861" s="129" t="s">
        <v>1200</v>
      </c>
      <c r="B861" s="442">
        <v>24.425000000000001</v>
      </c>
    </row>
    <row r="862" spans="1:2" x14ac:dyDescent="0.3">
      <c r="A862" s="129" t="s">
        <v>1201</v>
      </c>
      <c r="B862" s="442">
        <v>24.414999999999999</v>
      </c>
    </row>
    <row r="863" spans="1:2" x14ac:dyDescent="0.3">
      <c r="A863" s="129" t="s">
        <v>1098</v>
      </c>
      <c r="B863" s="442">
        <v>24.38</v>
      </c>
    </row>
    <row r="864" spans="1:2" x14ac:dyDescent="0.3">
      <c r="A864" s="129" t="s">
        <v>1202</v>
      </c>
      <c r="B864" s="442">
        <v>24.32</v>
      </c>
    </row>
    <row r="865" spans="1:2" x14ac:dyDescent="0.3">
      <c r="A865" s="129" t="s">
        <v>1203</v>
      </c>
      <c r="B865" s="442">
        <v>24.42</v>
      </c>
    </row>
    <row r="866" spans="1:2" x14ac:dyDescent="0.3">
      <c r="A866" s="129" t="s">
        <v>1099</v>
      </c>
      <c r="B866" s="442">
        <v>24.425000000000001</v>
      </c>
    </row>
    <row r="867" spans="1:2" x14ac:dyDescent="0.3">
      <c r="A867" s="129" t="s">
        <v>1204</v>
      </c>
      <c r="B867" s="442">
        <v>24.55</v>
      </c>
    </row>
    <row r="868" spans="1:2" x14ac:dyDescent="0.3">
      <c r="A868" s="129" t="s">
        <v>1100</v>
      </c>
      <c r="B868" s="442">
        <v>24.53</v>
      </c>
    </row>
    <row r="869" spans="1:2" x14ac:dyDescent="0.3">
      <c r="A869" s="129" t="s">
        <v>1205</v>
      </c>
      <c r="B869" s="442">
        <v>24.605</v>
      </c>
    </row>
    <row r="870" spans="1:2" x14ac:dyDescent="0.3">
      <c r="A870" s="129">
        <v>44681</v>
      </c>
      <c r="B870" s="442">
        <v>24.605</v>
      </c>
    </row>
    <row r="871" spans="1:2" x14ac:dyDescent="0.3">
      <c r="A871" s="129">
        <v>44682</v>
      </c>
      <c r="B871" s="442">
        <v>24.605</v>
      </c>
    </row>
    <row r="872" spans="1:2" x14ac:dyDescent="0.3">
      <c r="A872" s="129" t="s">
        <v>1206</v>
      </c>
      <c r="B872" s="442">
        <v>24.67</v>
      </c>
    </row>
    <row r="873" spans="1:2" x14ac:dyDescent="0.3">
      <c r="A873" s="129" t="s">
        <v>1207</v>
      </c>
      <c r="B873" s="442">
        <v>24.66</v>
      </c>
    </row>
    <row r="874" spans="1:2" x14ac:dyDescent="0.3">
      <c r="A874" s="129" t="s">
        <v>1104</v>
      </c>
      <c r="B874" s="442">
        <v>24.64</v>
      </c>
    </row>
    <row r="875" spans="1:2" x14ac:dyDescent="0.3">
      <c r="A875" s="129" t="s">
        <v>1106</v>
      </c>
      <c r="B875" s="442">
        <v>24.605</v>
      </c>
    </row>
    <row r="876" spans="1:2" x14ac:dyDescent="0.3">
      <c r="A876" s="129" t="s">
        <v>1113</v>
      </c>
      <c r="B876" s="442">
        <v>24.664999999999999</v>
      </c>
    </row>
    <row r="877" spans="1:2" x14ac:dyDescent="0.3">
      <c r="A877" s="129" t="s">
        <v>1208</v>
      </c>
      <c r="B877" s="442">
        <v>25.05</v>
      </c>
    </row>
    <row r="878" spans="1:2" x14ac:dyDescent="0.3">
      <c r="A878" s="129" t="s">
        <v>1209</v>
      </c>
      <c r="B878" s="442">
        <v>25.01</v>
      </c>
    </row>
    <row r="879" spans="1:2" x14ac:dyDescent="0.3">
      <c r="A879" s="129" t="s">
        <v>1210</v>
      </c>
      <c r="B879" s="442">
        <v>25.364999999999998</v>
      </c>
    </row>
    <row r="880" spans="1:2" x14ac:dyDescent="0.3">
      <c r="A880" s="129" t="s">
        <v>1211</v>
      </c>
      <c r="B880" s="442">
        <v>24.925000000000001</v>
      </c>
    </row>
    <row r="881" spans="1:2" x14ac:dyDescent="0.3">
      <c r="A881" s="129" t="s">
        <v>1115</v>
      </c>
      <c r="B881" s="442">
        <v>24.74</v>
      </c>
    </row>
    <row r="882" spans="1:2" x14ac:dyDescent="0.3">
      <c r="A882" s="129">
        <v>44696</v>
      </c>
      <c r="B882" s="442">
        <f>B881</f>
        <v>24.74</v>
      </c>
    </row>
    <row r="883" spans="1:2" x14ac:dyDescent="0.3">
      <c r="A883" s="129" t="s">
        <v>1212</v>
      </c>
      <c r="B883" s="442">
        <v>24.71</v>
      </c>
    </row>
    <row r="884" spans="1:2" x14ac:dyDescent="0.3">
      <c r="A884" s="129" t="s">
        <v>1213</v>
      </c>
      <c r="B884" s="442">
        <v>24.71</v>
      </c>
    </row>
    <row r="885" spans="1:2" x14ac:dyDescent="0.3">
      <c r="A885" s="129" t="s">
        <v>1214</v>
      </c>
      <c r="B885" s="442">
        <v>24.645</v>
      </c>
    </row>
    <row r="886" spans="1:2" x14ac:dyDescent="0.3">
      <c r="A886" s="129" t="s">
        <v>1215</v>
      </c>
      <c r="B886" s="442">
        <v>24.695</v>
      </c>
    </row>
    <row r="887" spans="1:2" x14ac:dyDescent="0.3">
      <c r="A887" s="129" t="s">
        <v>1216</v>
      </c>
      <c r="B887" s="442">
        <v>24.66</v>
      </c>
    </row>
    <row r="888" spans="1:2" x14ac:dyDescent="0.3">
      <c r="A888" s="129" t="s">
        <v>1217</v>
      </c>
      <c r="B888" s="442">
        <v>24.594999999999999</v>
      </c>
    </row>
    <row r="889" spans="1:2" x14ac:dyDescent="0.3">
      <c r="A889" s="129" t="s">
        <v>1117</v>
      </c>
      <c r="B889" s="442">
        <v>24.66</v>
      </c>
    </row>
    <row r="890" spans="1:2" x14ac:dyDescent="0.3">
      <c r="A890" s="129" t="s">
        <v>1218</v>
      </c>
      <c r="B890" s="442">
        <v>24.65</v>
      </c>
    </row>
    <row r="891" spans="1:2" x14ac:dyDescent="0.3">
      <c r="A891" s="129" t="s">
        <v>1219</v>
      </c>
      <c r="B891" s="442">
        <v>24.67</v>
      </c>
    </row>
    <row r="892" spans="1:2" x14ac:dyDescent="0.3">
      <c r="A892" s="129" t="s">
        <v>1220</v>
      </c>
      <c r="B892" s="442">
        <v>24.7</v>
      </c>
    </row>
    <row r="893" spans="1:2" x14ac:dyDescent="0.3">
      <c r="A893" s="129" t="s">
        <v>1221</v>
      </c>
      <c r="B893" s="442">
        <v>24.71</v>
      </c>
    </row>
    <row r="894" spans="1:2" x14ac:dyDescent="0.3">
      <c r="A894" s="129" t="s">
        <v>1119</v>
      </c>
      <c r="B894" s="442">
        <v>24.71</v>
      </c>
    </row>
    <row r="895" spans="1:2" x14ac:dyDescent="0.3">
      <c r="A895" s="129" t="s">
        <v>1222</v>
      </c>
      <c r="B895" s="442">
        <v>24.745000000000001</v>
      </c>
    </row>
    <row r="896" spans="1:2" x14ac:dyDescent="0.3">
      <c r="A896" s="129" t="s">
        <v>1223</v>
      </c>
      <c r="B896" s="442">
        <v>24.7</v>
      </c>
    </row>
    <row r="897" spans="1:2" x14ac:dyDescent="0.3">
      <c r="A897" s="129" t="s">
        <v>1224</v>
      </c>
      <c r="B897" s="442">
        <v>24.704999999999998</v>
      </c>
    </row>
    <row r="898" spans="1:2" x14ac:dyDescent="0.3">
      <c r="A898" s="129" t="s">
        <v>1126</v>
      </c>
      <c r="B898" s="442">
        <v>24.715</v>
      </c>
    </row>
    <row r="899" spans="1:2" x14ac:dyDescent="0.3">
      <c r="A899" s="129" t="s">
        <v>1134</v>
      </c>
      <c r="B899" s="442">
        <v>24.74</v>
      </c>
    </row>
    <row r="900" spans="1:2" x14ac:dyDescent="0.3">
      <c r="A900" s="129" t="s">
        <v>1225</v>
      </c>
      <c r="B900" s="442">
        <v>24.635000000000002</v>
      </c>
    </row>
    <row r="901" spans="1:2" x14ac:dyDescent="0.3">
      <c r="A901" s="129" t="s">
        <v>1226</v>
      </c>
      <c r="B901" s="442">
        <v>24.69</v>
      </c>
    </row>
    <row r="902" spans="1:2" x14ac:dyDescent="0.3">
      <c r="A902" s="129" t="s">
        <v>1227</v>
      </c>
      <c r="B902" s="442">
        <v>24.704999999999998</v>
      </c>
    </row>
    <row r="903" spans="1:2" x14ac:dyDescent="0.3">
      <c r="A903" s="129" t="s">
        <v>1228</v>
      </c>
      <c r="B903" s="442">
        <v>24.725000000000001</v>
      </c>
    </row>
    <row r="904" spans="1:2" x14ac:dyDescent="0.3">
      <c r="A904" s="129" t="s">
        <v>1229</v>
      </c>
      <c r="B904" s="442">
        <v>24.75</v>
      </c>
    </row>
    <row r="905" spans="1:2" x14ac:dyDescent="0.3">
      <c r="A905" s="129" t="s">
        <v>1230</v>
      </c>
      <c r="B905" s="442">
        <v>24.7</v>
      </c>
    </row>
    <row r="906" spans="1:2" x14ac:dyDescent="0.3">
      <c r="A906" s="129" t="s">
        <v>1231</v>
      </c>
      <c r="B906" s="442">
        <v>24.74</v>
      </c>
    </row>
    <row r="907" spans="1:2" x14ac:dyDescent="0.3">
      <c r="A907" s="129" t="s">
        <v>1232</v>
      </c>
      <c r="B907" s="442">
        <v>24.745999999999999</v>
      </c>
    </row>
    <row r="908" spans="1:2" x14ac:dyDescent="0.3">
      <c r="A908" s="129" t="s">
        <v>1233</v>
      </c>
      <c r="B908" s="442">
        <v>24.725000000000001</v>
      </c>
    </row>
    <row r="909" spans="1:2" x14ac:dyDescent="0.3">
      <c r="A909" s="129" t="s">
        <v>1234</v>
      </c>
      <c r="B909" s="442">
        <v>24.684999999999999</v>
      </c>
    </row>
    <row r="910" spans="1:2" x14ac:dyDescent="0.3">
      <c r="A910" s="129" t="s">
        <v>1235</v>
      </c>
      <c r="B910" s="442">
        <v>24.71</v>
      </c>
    </row>
    <row r="911" spans="1:2" x14ac:dyDescent="0.3">
      <c r="A911" s="129" t="s">
        <v>1137</v>
      </c>
      <c r="B911" s="442">
        <v>24.75</v>
      </c>
    </row>
    <row r="912" spans="1:2" x14ac:dyDescent="0.3">
      <c r="A912" s="129" t="s">
        <v>1236</v>
      </c>
      <c r="B912" s="442">
        <v>24.73</v>
      </c>
    </row>
    <row r="913" spans="1:2" x14ac:dyDescent="0.3">
      <c r="A913" s="129" t="s">
        <v>1141</v>
      </c>
      <c r="B913" s="442">
        <v>24.725000000000001</v>
      </c>
    </row>
    <row r="914" spans="1:2" x14ac:dyDescent="0.3">
      <c r="A914" s="129" t="s">
        <v>1143</v>
      </c>
      <c r="B914" s="442">
        <v>24.725000000000001</v>
      </c>
    </row>
    <row r="915" spans="1:2" x14ac:dyDescent="0.3">
      <c r="A915" s="129" t="s">
        <v>1146</v>
      </c>
      <c r="B915" s="442">
        <v>24.74</v>
      </c>
    </row>
    <row r="916" spans="1:2" x14ac:dyDescent="0.3">
      <c r="A916" s="129" t="s">
        <v>1147</v>
      </c>
      <c r="B916" s="442">
        <v>24.74</v>
      </c>
    </row>
    <row r="917" spans="1:2" x14ac:dyDescent="0.3">
      <c r="A917" s="129" t="s">
        <v>1237</v>
      </c>
      <c r="B917" s="442">
        <v>24.754999999999999</v>
      </c>
    </row>
    <row r="918" spans="1:2" x14ac:dyDescent="0.3">
      <c r="A918" s="129" t="s">
        <v>1238</v>
      </c>
      <c r="B918" s="442">
        <v>24.745000000000001</v>
      </c>
    </row>
    <row r="919" spans="1:2" x14ac:dyDescent="0.3">
      <c r="A919" s="129" t="s">
        <v>1239</v>
      </c>
      <c r="B919" s="442">
        <v>24.78</v>
      </c>
    </row>
    <row r="920" spans="1:2" x14ac:dyDescent="0.3">
      <c r="A920" s="129" t="s">
        <v>1240</v>
      </c>
      <c r="B920" s="442">
        <v>24.625</v>
      </c>
    </row>
    <row r="921" spans="1:2" x14ac:dyDescent="0.3">
      <c r="A921" s="129">
        <v>44751</v>
      </c>
      <c r="B921" s="442">
        <v>24.625</v>
      </c>
    </row>
    <row r="922" spans="1:2" x14ac:dyDescent="0.3">
      <c r="A922" s="129" t="s">
        <v>1241</v>
      </c>
      <c r="B922" s="442">
        <v>24.59</v>
      </c>
    </row>
    <row r="923" spans="1:2" x14ac:dyDescent="0.3">
      <c r="A923" s="129" t="s">
        <v>1242</v>
      </c>
      <c r="B923" s="442">
        <v>24.58</v>
      </c>
    </row>
    <row r="924" spans="1:2" x14ac:dyDescent="0.3">
      <c r="A924" s="129" t="s">
        <v>1243</v>
      </c>
      <c r="B924" s="442">
        <v>24.4</v>
      </c>
    </row>
    <row r="925" spans="1:2" x14ac:dyDescent="0.3">
      <c r="A925" s="129" t="s">
        <v>1244</v>
      </c>
      <c r="B925" s="442">
        <v>24.414999999999999</v>
      </c>
    </row>
    <row r="926" spans="1:2" x14ac:dyDescent="0.3">
      <c r="A926" s="129" t="s">
        <v>1245</v>
      </c>
      <c r="B926" s="442">
        <v>24.565000000000001</v>
      </c>
    </row>
    <row r="927" spans="1:2" x14ac:dyDescent="0.3">
      <c r="A927" s="129" t="s">
        <v>1246</v>
      </c>
      <c r="B927" s="442">
        <v>24.51</v>
      </c>
    </row>
    <row r="928" spans="1:2" x14ac:dyDescent="0.3">
      <c r="A928" s="129" t="s">
        <v>1247</v>
      </c>
      <c r="B928" s="442">
        <v>24.555</v>
      </c>
    </row>
    <row r="929" spans="1:2" x14ac:dyDescent="0.3">
      <c r="A929" s="129" t="s">
        <v>1248</v>
      </c>
      <c r="B929" s="442">
        <v>24.49</v>
      </c>
    </row>
    <row r="930" spans="1:2" x14ac:dyDescent="0.3">
      <c r="A930" s="129" t="s">
        <v>1249</v>
      </c>
      <c r="B930" s="442">
        <v>24.5</v>
      </c>
    </row>
    <row r="931" spans="1:2" x14ac:dyDescent="0.3">
      <c r="A931" s="129" t="s">
        <v>1250</v>
      </c>
      <c r="B931" s="442">
        <v>24.52</v>
      </c>
    </row>
    <row r="932" spans="1:2" x14ac:dyDescent="0.3">
      <c r="A932" s="129" t="s">
        <v>1251</v>
      </c>
      <c r="B932" s="442">
        <v>24.535</v>
      </c>
    </row>
    <row r="933" spans="1:2" x14ac:dyDescent="0.3">
      <c r="A933" s="129" t="s">
        <v>1252</v>
      </c>
      <c r="B933" s="442">
        <v>24.605</v>
      </c>
    </row>
    <row r="934" spans="1:2" x14ac:dyDescent="0.3">
      <c r="A934" s="129" t="s">
        <v>1253</v>
      </c>
      <c r="B934" s="442">
        <v>24.574999999999999</v>
      </c>
    </row>
    <row r="935" spans="1:2" x14ac:dyDescent="0.3">
      <c r="A935" s="129" t="s">
        <v>1254</v>
      </c>
      <c r="B935" s="442">
        <v>24.605</v>
      </c>
    </row>
    <row r="936" spans="1:2" x14ac:dyDescent="0.3">
      <c r="A936" s="129" t="s">
        <v>1255</v>
      </c>
      <c r="B936" s="442">
        <v>24.61</v>
      </c>
    </row>
    <row r="937" spans="1:2" x14ac:dyDescent="0.3">
      <c r="A937" s="129">
        <v>44772</v>
      </c>
      <c r="B937" s="442">
        <v>24.61</v>
      </c>
    </row>
    <row r="938" spans="1:2" x14ac:dyDescent="0.3">
      <c r="A938" s="129">
        <v>44773</v>
      </c>
      <c r="B938" s="442">
        <v>24.61</v>
      </c>
    </row>
    <row r="939" spans="1:2" x14ac:dyDescent="0.3">
      <c r="A939" s="388" t="s">
        <v>1256</v>
      </c>
      <c r="B939" s="443">
        <v>24.63</v>
      </c>
    </row>
    <row r="940" spans="1:2" x14ac:dyDescent="0.3">
      <c r="A940" s="388" t="s">
        <v>1257</v>
      </c>
      <c r="B940" s="443">
        <v>24.645</v>
      </c>
    </row>
    <row r="941" spans="1:2" x14ac:dyDescent="0.3">
      <c r="A941" s="388" t="s">
        <v>1258</v>
      </c>
      <c r="B941" s="443">
        <v>24.65</v>
      </c>
    </row>
    <row r="942" spans="1:2" x14ac:dyDescent="0.3">
      <c r="A942" s="388" t="s">
        <v>1259</v>
      </c>
      <c r="B942" s="443">
        <v>24.66</v>
      </c>
    </row>
    <row r="943" spans="1:2" x14ac:dyDescent="0.3">
      <c r="A943" s="388" t="s">
        <v>1260</v>
      </c>
      <c r="B943" s="443">
        <v>24.58</v>
      </c>
    </row>
    <row r="944" spans="1:2" x14ac:dyDescent="0.3">
      <c r="A944" s="388" t="s">
        <v>1261</v>
      </c>
      <c r="B944" s="443">
        <v>24.515000000000001</v>
      </c>
    </row>
    <row r="945" spans="1:2" x14ac:dyDescent="0.3">
      <c r="A945" s="388" t="s">
        <v>1262</v>
      </c>
      <c r="B945" s="443">
        <v>24.53</v>
      </c>
    </row>
    <row r="946" spans="1:2" x14ac:dyDescent="0.3">
      <c r="A946" s="388" t="s">
        <v>1358</v>
      </c>
      <c r="B946" s="443">
        <v>24.395</v>
      </c>
    </row>
    <row r="947" spans="1:2" x14ac:dyDescent="0.3">
      <c r="A947" s="388" t="s">
        <v>1300</v>
      </c>
      <c r="B947" s="443">
        <v>24.344999999999999</v>
      </c>
    </row>
    <row r="948" spans="1:2" x14ac:dyDescent="0.3">
      <c r="A948" s="388" t="s">
        <v>1359</v>
      </c>
      <c r="B948" s="443">
        <v>24.38</v>
      </c>
    </row>
    <row r="949" spans="1:2" x14ac:dyDescent="0.3">
      <c r="A949" s="388" t="s">
        <v>1360</v>
      </c>
      <c r="B949" s="443">
        <v>24.46</v>
      </c>
    </row>
    <row r="950" spans="1:2" x14ac:dyDescent="0.3">
      <c r="A950" s="388" t="s">
        <v>1361</v>
      </c>
      <c r="B950" s="443">
        <v>24.54</v>
      </c>
    </row>
    <row r="951" spans="1:2" x14ac:dyDescent="0.3">
      <c r="A951" s="388" t="s">
        <v>1362</v>
      </c>
      <c r="B951" s="443">
        <v>24.565000000000001</v>
      </c>
    </row>
    <row r="952" spans="1:2" x14ac:dyDescent="0.3">
      <c r="A952" s="388" t="s">
        <v>1303</v>
      </c>
      <c r="B952" s="443">
        <v>24.61</v>
      </c>
    </row>
    <row r="953" spans="1:2" x14ac:dyDescent="0.3">
      <c r="A953" s="388" t="s">
        <v>1363</v>
      </c>
      <c r="B953" s="443">
        <v>24.625</v>
      </c>
    </row>
    <row r="954" spans="1:2" x14ac:dyDescent="0.3">
      <c r="A954" s="388" t="s">
        <v>1364</v>
      </c>
      <c r="B954" s="443">
        <v>24.65</v>
      </c>
    </row>
    <row r="955" spans="1:2" x14ac:dyDescent="0.3">
      <c r="A955" s="388" t="s">
        <v>1365</v>
      </c>
      <c r="B955" s="443">
        <v>24.655000000000001</v>
      </c>
    </row>
    <row r="956" spans="1:2" x14ac:dyDescent="0.3">
      <c r="A956" s="388" t="s">
        <v>1366</v>
      </c>
      <c r="B956" s="443">
        <v>24.635000000000002</v>
      </c>
    </row>
    <row r="957" spans="1:2" x14ac:dyDescent="0.3">
      <c r="A957" s="388" t="s">
        <v>1367</v>
      </c>
      <c r="B957" s="443">
        <v>24.65</v>
      </c>
    </row>
    <row r="958" spans="1:2" x14ac:dyDescent="0.3">
      <c r="A958" s="388" t="s">
        <v>1368</v>
      </c>
      <c r="B958" s="443">
        <v>24.635000000000002</v>
      </c>
    </row>
    <row r="959" spans="1:2" x14ac:dyDescent="0.3">
      <c r="A959" s="388" t="s">
        <v>1369</v>
      </c>
      <c r="B959" s="443">
        <v>24.594999999999999</v>
      </c>
    </row>
    <row r="960" spans="1:2" x14ac:dyDescent="0.3">
      <c r="A960" s="388" t="s">
        <v>1370</v>
      </c>
      <c r="B960" s="443">
        <v>24.58</v>
      </c>
    </row>
    <row r="961" spans="1:2" x14ac:dyDescent="0.3">
      <c r="A961" s="388" t="s">
        <v>1304</v>
      </c>
      <c r="B961" s="443">
        <v>24.545000000000002</v>
      </c>
    </row>
    <row r="962" spans="1:2" x14ac:dyDescent="0.3">
      <c r="A962" s="388" t="s">
        <v>1371</v>
      </c>
      <c r="B962" s="443">
        <v>24.49</v>
      </c>
    </row>
    <row r="963" spans="1:2" x14ac:dyDescent="0.3">
      <c r="A963" s="388" t="s">
        <v>1372</v>
      </c>
      <c r="B963" s="443">
        <v>24.484999999999999</v>
      </c>
    </row>
    <row r="964" spans="1:2" x14ac:dyDescent="0.3">
      <c r="A964" s="388" t="s">
        <v>1306</v>
      </c>
      <c r="B964" s="443">
        <v>24.625</v>
      </c>
    </row>
    <row r="965" spans="1:2" x14ac:dyDescent="0.3">
      <c r="A965" s="388" t="s">
        <v>1373</v>
      </c>
      <c r="B965" s="443">
        <v>24.55</v>
      </c>
    </row>
    <row r="966" spans="1:2" x14ac:dyDescent="0.3">
      <c r="A966" s="388" t="s">
        <v>1307</v>
      </c>
      <c r="B966" s="443">
        <v>24.63</v>
      </c>
    </row>
    <row r="967" spans="1:2" x14ac:dyDescent="0.3">
      <c r="A967" s="388" t="s">
        <v>1374</v>
      </c>
      <c r="B967" s="443">
        <v>24.545000000000002</v>
      </c>
    </row>
    <row r="968" spans="1:2" x14ac:dyDescent="0.3">
      <c r="A968" s="388" t="s">
        <v>1375</v>
      </c>
      <c r="B968" s="443">
        <v>24.54</v>
      </c>
    </row>
    <row r="969" spans="1:2" x14ac:dyDescent="0.3">
      <c r="A969" s="388" t="s">
        <v>1308</v>
      </c>
      <c r="B969" s="443">
        <v>24.55</v>
      </c>
    </row>
    <row r="970" spans="1:2" x14ac:dyDescent="0.3">
      <c r="A970" s="388" t="s">
        <v>1311</v>
      </c>
      <c r="B970" s="443">
        <v>24.55</v>
      </c>
    </row>
    <row r="971" spans="1:2" x14ac:dyDescent="0.3">
      <c r="A971" s="388" t="s">
        <v>1376</v>
      </c>
      <c r="B971" s="443">
        <v>24.524999999999999</v>
      </c>
    </row>
    <row r="972" spans="1:2" x14ac:dyDescent="0.3">
      <c r="A972" s="388" t="s">
        <v>1377</v>
      </c>
      <c r="B972" s="443">
        <v>24.52</v>
      </c>
    </row>
    <row r="973" spans="1:2" x14ac:dyDescent="0.3">
      <c r="A973" s="388" t="s">
        <v>1378</v>
      </c>
      <c r="B973" s="443">
        <v>24.495000000000001</v>
      </c>
    </row>
    <row r="974" spans="1:2" x14ac:dyDescent="0.3">
      <c r="A974" s="388" t="s">
        <v>1379</v>
      </c>
      <c r="B974" s="443">
        <v>24.495000000000001</v>
      </c>
    </row>
    <row r="975" spans="1:2" x14ac:dyDescent="0.3">
      <c r="A975" s="388" t="s">
        <v>1380</v>
      </c>
      <c r="B975" s="443">
        <v>24.555</v>
      </c>
    </row>
    <row r="976" spans="1:2" x14ac:dyDescent="0.3">
      <c r="A976" s="388" t="s">
        <v>1381</v>
      </c>
      <c r="B976" s="443">
        <v>24.635000000000002</v>
      </c>
    </row>
    <row r="977" spans="1:2" x14ac:dyDescent="0.3">
      <c r="A977" s="388" t="s">
        <v>1382</v>
      </c>
      <c r="B977" s="443">
        <v>24.655000000000001</v>
      </c>
    </row>
    <row r="978" spans="1:2" x14ac:dyDescent="0.3">
      <c r="A978" s="388" t="s">
        <v>1383</v>
      </c>
      <c r="B978" s="443">
        <v>24.66</v>
      </c>
    </row>
    <row r="979" spans="1:2" x14ac:dyDescent="0.3">
      <c r="A979" s="388" t="s">
        <v>1313</v>
      </c>
      <c r="B979" s="443">
        <v>24.635000000000002</v>
      </c>
    </row>
    <row r="980" spans="1:2" x14ac:dyDescent="0.3">
      <c r="A980" s="388" t="s">
        <v>1384</v>
      </c>
      <c r="B980" s="443">
        <v>24.66</v>
      </c>
    </row>
    <row r="981" spans="1:2" x14ac:dyDescent="0.3">
      <c r="A981" s="388" t="s">
        <v>1385</v>
      </c>
      <c r="B981" s="443">
        <v>24.69</v>
      </c>
    </row>
    <row r="982" spans="1:2" x14ac:dyDescent="0.3">
      <c r="A982" s="388" t="s">
        <v>1314</v>
      </c>
      <c r="B982" s="443">
        <v>24.55</v>
      </c>
    </row>
    <row r="983" spans="1:2" x14ac:dyDescent="0.3">
      <c r="A983" s="388" t="s">
        <v>1386</v>
      </c>
      <c r="B983" s="443">
        <v>24.53</v>
      </c>
    </row>
    <row r="984" spans="1:2" x14ac:dyDescent="0.3">
      <c r="A984" s="388" t="s">
        <v>1387</v>
      </c>
      <c r="B984" s="443">
        <v>24.545000000000002</v>
      </c>
    </row>
    <row r="985" spans="1:2" x14ac:dyDescent="0.3">
      <c r="A985" s="388" t="s">
        <v>1388</v>
      </c>
      <c r="B985" s="443">
        <v>24.524999999999999</v>
      </c>
    </row>
    <row r="986" spans="1:2" x14ac:dyDescent="0.3">
      <c r="A986" s="388" t="s">
        <v>1389</v>
      </c>
      <c r="B986" s="443">
        <v>24.48</v>
      </c>
    </row>
    <row r="987" spans="1:2" x14ac:dyDescent="0.3">
      <c r="A987" s="388" t="s">
        <v>1390</v>
      </c>
      <c r="B987" s="443">
        <v>24.515000000000001</v>
      </c>
    </row>
    <row r="988" spans="1:2" x14ac:dyDescent="0.3">
      <c r="A988" s="388" t="s">
        <v>1317</v>
      </c>
      <c r="B988" s="443">
        <v>24.52</v>
      </c>
    </row>
    <row r="989" spans="1:2" x14ac:dyDescent="0.3">
      <c r="A989" s="388" t="s">
        <v>1391</v>
      </c>
      <c r="B989" s="443">
        <v>24.535</v>
      </c>
    </row>
    <row r="990" spans="1:2" x14ac:dyDescent="0.3">
      <c r="A990" s="388" t="s">
        <v>1392</v>
      </c>
      <c r="B990" s="443">
        <v>24.56</v>
      </c>
    </row>
    <row r="991" spans="1:2" x14ac:dyDescent="0.3">
      <c r="A991" s="388" t="s">
        <v>1393</v>
      </c>
      <c r="B991" s="443">
        <v>24.57</v>
      </c>
    </row>
    <row r="992" spans="1:2" x14ac:dyDescent="0.3">
      <c r="A992" s="388" t="s">
        <v>1394</v>
      </c>
      <c r="B992" s="443">
        <v>24.585000000000001</v>
      </c>
    </row>
    <row r="993" spans="1:2" x14ac:dyDescent="0.3">
      <c r="A993" s="388" t="s">
        <v>1395</v>
      </c>
      <c r="B993" s="443">
        <v>24.565000000000001</v>
      </c>
    </row>
    <row r="994" spans="1:2" x14ac:dyDescent="0.3">
      <c r="A994" s="388" t="s">
        <v>1396</v>
      </c>
      <c r="B994" s="443">
        <v>24.594999999999999</v>
      </c>
    </row>
    <row r="995" spans="1:2" x14ac:dyDescent="0.3">
      <c r="A995" s="388" t="s">
        <v>1318</v>
      </c>
      <c r="B995" s="443">
        <v>24.565000000000001</v>
      </c>
    </row>
    <row r="996" spans="1:2" x14ac:dyDescent="0.3">
      <c r="A996" s="388" t="s">
        <v>1319</v>
      </c>
      <c r="B996" s="443">
        <v>24.53</v>
      </c>
    </row>
    <row r="997" spans="1:2" x14ac:dyDescent="0.3">
      <c r="A997" s="388" t="s">
        <v>1320</v>
      </c>
      <c r="B997" s="443">
        <v>24.51</v>
      </c>
    </row>
    <row r="998" spans="1:2" x14ac:dyDescent="0.3">
      <c r="A998" s="388" t="s">
        <v>1397</v>
      </c>
      <c r="B998" s="443">
        <v>24.48</v>
      </c>
    </row>
    <row r="999" spans="1:2" x14ac:dyDescent="0.3">
      <c r="A999" s="388" t="s">
        <v>1398</v>
      </c>
      <c r="B999" s="443">
        <v>24.47</v>
      </c>
    </row>
    <row r="1000" spans="1:2" x14ac:dyDescent="0.3">
      <c r="A1000" s="388" t="s">
        <v>1399</v>
      </c>
      <c r="B1000" s="443">
        <v>24.535</v>
      </c>
    </row>
    <row r="1001" spans="1:2" x14ac:dyDescent="0.3">
      <c r="A1001" s="388" t="s">
        <v>1400</v>
      </c>
      <c r="B1001" s="443">
        <v>24.53</v>
      </c>
    </row>
    <row r="1002" spans="1:2" x14ac:dyDescent="0.3">
      <c r="A1002" s="388" t="s">
        <v>1323</v>
      </c>
      <c r="B1002" s="443">
        <v>24.484999999999999</v>
      </c>
    </row>
    <row r="1003" spans="1:2" x14ac:dyDescent="0.3">
      <c r="A1003" s="388" t="s">
        <v>1401</v>
      </c>
      <c r="B1003" s="443">
        <v>24.484999999999999</v>
      </c>
    </row>
    <row r="1004" spans="1:2" x14ac:dyDescent="0.3">
      <c r="A1004" s="388" t="s">
        <v>1402</v>
      </c>
      <c r="B1004" s="443">
        <v>24.504999999999999</v>
      </c>
    </row>
    <row r="1005" spans="1:2" x14ac:dyDescent="0.3">
      <c r="A1005" s="388" t="s">
        <v>1324</v>
      </c>
      <c r="B1005" s="443">
        <v>24.535</v>
      </c>
    </row>
    <row r="1006" spans="1:2" x14ac:dyDescent="0.3">
      <c r="A1006" s="388" t="s">
        <v>1403</v>
      </c>
      <c r="B1006" s="443">
        <v>24.42</v>
      </c>
    </row>
    <row r="1007" spans="1:2" x14ac:dyDescent="0.3">
      <c r="A1007" s="388" t="s">
        <v>1404</v>
      </c>
      <c r="B1007" s="443">
        <v>24.3</v>
      </c>
    </row>
    <row r="1008" spans="1:2" x14ac:dyDescent="0.3">
      <c r="A1008" s="388" t="s">
        <v>1405</v>
      </c>
      <c r="B1008" s="443">
        <v>24.324999999999999</v>
      </c>
    </row>
    <row r="1009" spans="1:2" x14ac:dyDescent="0.3">
      <c r="A1009" s="388" t="s">
        <v>1328</v>
      </c>
      <c r="B1009" s="443">
        <v>24.335000000000001</v>
      </c>
    </row>
    <row r="1010" spans="1:2" x14ac:dyDescent="0.3">
      <c r="A1010" s="388" t="s">
        <v>1406</v>
      </c>
      <c r="B1010" s="443">
        <v>24.36</v>
      </c>
    </row>
    <row r="1011" spans="1:2" x14ac:dyDescent="0.3">
      <c r="A1011" s="388" t="s">
        <v>1330</v>
      </c>
      <c r="B1011" s="443">
        <v>24.28</v>
      </c>
    </row>
    <row r="1012" spans="1:2" x14ac:dyDescent="0.3">
      <c r="A1012" s="388" t="s">
        <v>1333</v>
      </c>
      <c r="B1012" s="443">
        <v>24.295000000000002</v>
      </c>
    </row>
    <row r="1013" spans="1:2" x14ac:dyDescent="0.3">
      <c r="A1013" s="388" t="s">
        <v>1407</v>
      </c>
      <c r="B1013" s="443">
        <v>24.32</v>
      </c>
    </row>
    <row r="1014" spans="1:2" x14ac:dyDescent="0.3">
      <c r="A1014" s="388" t="s">
        <v>1408</v>
      </c>
      <c r="B1014" s="443">
        <v>24.355</v>
      </c>
    </row>
    <row r="1015" spans="1:2" x14ac:dyDescent="0.3">
      <c r="A1015" s="388" t="s">
        <v>1409</v>
      </c>
      <c r="B1015" s="443">
        <v>24.35</v>
      </c>
    </row>
    <row r="1016" spans="1:2" x14ac:dyDescent="0.3">
      <c r="A1016" s="388" t="s">
        <v>1410</v>
      </c>
      <c r="B1016" s="443">
        <v>24.355</v>
      </c>
    </row>
    <row r="1017" spans="1:2" x14ac:dyDescent="0.3">
      <c r="A1017" s="388" t="s">
        <v>1334</v>
      </c>
      <c r="B1017" s="443">
        <v>24.35</v>
      </c>
    </row>
    <row r="1018" spans="1:2" x14ac:dyDescent="0.3">
      <c r="A1018" s="388" t="s">
        <v>1411</v>
      </c>
      <c r="B1018" s="443">
        <v>24.355</v>
      </c>
    </row>
    <row r="1019" spans="1:2" x14ac:dyDescent="0.3">
      <c r="A1019" s="388" t="s">
        <v>1412</v>
      </c>
      <c r="B1019" s="443">
        <v>24.395</v>
      </c>
    </row>
    <row r="1020" spans="1:2" x14ac:dyDescent="0.3">
      <c r="A1020" s="388" t="s">
        <v>1413</v>
      </c>
      <c r="B1020" s="443">
        <v>24.364999999999998</v>
      </c>
    </row>
    <row r="1021" spans="1:2" x14ac:dyDescent="0.3">
      <c r="A1021" s="388" t="s">
        <v>1338</v>
      </c>
      <c r="B1021" s="443">
        <v>24.344999999999999</v>
      </c>
    </row>
    <row r="1022" spans="1:2" x14ac:dyDescent="0.3">
      <c r="A1022" s="388" t="s">
        <v>1414</v>
      </c>
      <c r="B1022" s="443">
        <v>24.335000000000001</v>
      </c>
    </row>
    <row r="1023" spans="1:2" x14ac:dyDescent="0.3">
      <c r="A1023" s="388" t="s">
        <v>1339</v>
      </c>
      <c r="B1023" s="443">
        <v>24.34</v>
      </c>
    </row>
    <row r="1024" spans="1:2" x14ac:dyDescent="0.3">
      <c r="A1024" s="388" t="s">
        <v>1340</v>
      </c>
      <c r="B1024" s="443">
        <v>24.36</v>
      </c>
    </row>
    <row r="1025" spans="1:2" x14ac:dyDescent="0.3">
      <c r="A1025" s="388" t="s">
        <v>1415</v>
      </c>
      <c r="B1025" s="443">
        <v>24.375</v>
      </c>
    </row>
    <row r="1026" spans="1:2" x14ac:dyDescent="0.3">
      <c r="A1026" s="388" t="s">
        <v>1341</v>
      </c>
      <c r="B1026" s="443">
        <v>24.35</v>
      </c>
    </row>
    <row r="1027" spans="1:2" x14ac:dyDescent="0.3">
      <c r="A1027" s="388" t="s">
        <v>1342</v>
      </c>
      <c r="B1027" s="443">
        <v>24.315000000000001</v>
      </c>
    </row>
    <row r="1028" spans="1:2" x14ac:dyDescent="0.3">
      <c r="A1028" t="s">
        <v>1416</v>
      </c>
      <c r="B1028" s="442">
        <v>24.324999999999999</v>
      </c>
    </row>
    <row r="1029" spans="1:2" x14ac:dyDescent="0.3">
      <c r="A1029" t="s">
        <v>1417</v>
      </c>
      <c r="B1029" s="442">
        <v>24.324999999999999</v>
      </c>
    </row>
    <row r="1030" spans="1:2" x14ac:dyDescent="0.3">
      <c r="A1030" t="s">
        <v>1343</v>
      </c>
      <c r="B1030" s="442">
        <v>24.295000000000002</v>
      </c>
    </row>
    <row r="1031" spans="1:2" x14ac:dyDescent="0.3">
      <c r="A1031" t="s">
        <v>1344</v>
      </c>
      <c r="B1031" s="442">
        <v>24.31</v>
      </c>
    </row>
    <row r="1032" spans="1:2" x14ac:dyDescent="0.3">
      <c r="A1032" t="s">
        <v>1347</v>
      </c>
      <c r="B1032" s="442">
        <v>24.285</v>
      </c>
    </row>
    <row r="1033" spans="1:2" x14ac:dyDescent="0.3">
      <c r="A1033" t="s">
        <v>1418</v>
      </c>
      <c r="B1033" s="442">
        <v>24.274999999999999</v>
      </c>
    </row>
    <row r="1034" spans="1:2" x14ac:dyDescent="0.3">
      <c r="A1034" t="s">
        <v>1348</v>
      </c>
      <c r="B1034" s="442">
        <v>24.27</v>
      </c>
    </row>
    <row r="1035" spans="1:2" x14ac:dyDescent="0.3">
      <c r="A1035" t="s">
        <v>1419</v>
      </c>
      <c r="B1035" s="442">
        <v>24.26</v>
      </c>
    </row>
    <row r="1036" spans="1:2" x14ac:dyDescent="0.3">
      <c r="A1036" t="s">
        <v>1350</v>
      </c>
      <c r="B1036" s="442">
        <v>24.234999999999999</v>
      </c>
    </row>
    <row r="1037" spans="1:2" x14ac:dyDescent="0.3">
      <c r="A1037" t="s">
        <v>1353</v>
      </c>
      <c r="B1037" s="442">
        <v>24.18</v>
      </c>
    </row>
    <row r="1038" spans="1:2" x14ac:dyDescent="0.3">
      <c r="A1038" t="s">
        <v>1420</v>
      </c>
      <c r="B1038" s="442">
        <v>24.215</v>
      </c>
    </row>
    <row r="1039" spans="1:2" x14ac:dyDescent="0.3">
      <c r="A1039" t="s">
        <v>1421</v>
      </c>
      <c r="B1039" s="442">
        <v>24.215</v>
      </c>
    </row>
    <row r="1040" spans="1:2" x14ac:dyDescent="0.3">
      <c r="A1040" t="s">
        <v>1422</v>
      </c>
      <c r="B1040" s="442">
        <v>24.245000000000001</v>
      </c>
    </row>
    <row r="1041" spans="1:2" x14ac:dyDescent="0.3">
      <c r="A1041" t="s">
        <v>1423</v>
      </c>
      <c r="B1041" s="442">
        <v>24.26</v>
      </c>
    </row>
    <row r="1042" spans="1:2" x14ac:dyDescent="0.3">
      <c r="A1042" t="s">
        <v>1424</v>
      </c>
      <c r="B1042" s="442">
        <v>24.25</v>
      </c>
    </row>
    <row r="1043" spans="1:2" x14ac:dyDescent="0.3">
      <c r="A1043" t="s">
        <v>1425</v>
      </c>
      <c r="B1043" s="442">
        <v>24.19</v>
      </c>
    </row>
    <row r="1044" spans="1:2" x14ac:dyDescent="0.3">
      <c r="A1044" t="s">
        <v>1426</v>
      </c>
      <c r="B1044" s="442">
        <v>24.114999999999998</v>
      </c>
    </row>
    <row r="1045" spans="1:2" x14ac:dyDescent="0.3">
      <c r="A1045" s="129">
        <v>44926</v>
      </c>
      <c r="B1045" s="442">
        <v>24.114999999999998</v>
      </c>
    </row>
    <row r="1046" spans="1:2" x14ac:dyDescent="0.3">
      <c r="A1046" s="129">
        <v>44927</v>
      </c>
      <c r="B1046" s="442">
        <v>24.114999999999998</v>
      </c>
    </row>
    <row r="1047" spans="1:2" x14ac:dyDescent="0.3">
      <c r="A1047" s="127">
        <v>44928</v>
      </c>
      <c r="B1047" s="442">
        <v>24.175000000000001</v>
      </c>
    </row>
    <row r="1048" spans="1:2" x14ac:dyDescent="0.3">
      <c r="A1048" s="127">
        <v>44929</v>
      </c>
      <c r="B1048" s="442">
        <v>24.125</v>
      </c>
    </row>
    <row r="1049" spans="1:2" x14ac:dyDescent="0.3">
      <c r="A1049" s="127">
        <v>44930</v>
      </c>
      <c r="B1049" s="442">
        <v>24.024999999999999</v>
      </c>
    </row>
    <row r="1050" spans="1:2" x14ac:dyDescent="0.3">
      <c r="A1050" s="127">
        <v>44931</v>
      </c>
      <c r="B1050" s="442">
        <v>24.03</v>
      </c>
    </row>
    <row r="1051" spans="1:2" x14ac:dyDescent="0.3">
      <c r="A1051" s="127">
        <v>44932</v>
      </c>
      <c r="B1051" s="442">
        <v>24.055</v>
      </c>
    </row>
    <row r="1052" spans="1:2" x14ac:dyDescent="0.3">
      <c r="A1052" s="127">
        <v>44935</v>
      </c>
      <c r="B1052" s="442">
        <v>23.99</v>
      </c>
    </row>
    <row r="1053" spans="1:2" x14ac:dyDescent="0.3">
      <c r="A1053" s="127">
        <v>44936</v>
      </c>
      <c r="B1053" s="442">
        <v>23.984999999999999</v>
      </c>
    </row>
    <row r="1054" spans="1:2" x14ac:dyDescent="0.3">
      <c r="A1054" s="127">
        <v>44937</v>
      </c>
      <c r="B1054" s="442">
        <v>24.024999999999999</v>
      </c>
    </row>
    <row r="1055" spans="1:2" x14ac:dyDescent="0.3">
      <c r="A1055" s="127">
        <v>44938</v>
      </c>
      <c r="B1055" s="442">
        <v>24.035</v>
      </c>
    </row>
    <row r="1056" spans="1:2" x14ac:dyDescent="0.3">
      <c r="A1056" s="127">
        <v>44939</v>
      </c>
      <c r="B1056" s="442">
        <v>24.015000000000001</v>
      </c>
    </row>
    <row r="1057" spans="1:2" x14ac:dyDescent="0.3">
      <c r="A1057" s="127">
        <v>44942</v>
      </c>
      <c r="B1057" s="442">
        <v>23.995000000000001</v>
      </c>
    </row>
    <row r="1058" spans="1:2" x14ac:dyDescent="0.3">
      <c r="A1058" s="127">
        <v>44943</v>
      </c>
      <c r="B1058" s="442">
        <v>23.965</v>
      </c>
    </row>
    <row r="1059" spans="1:2" x14ac:dyDescent="0.3">
      <c r="A1059" s="127">
        <v>44944</v>
      </c>
      <c r="B1059" s="442">
        <v>23.954999999999998</v>
      </c>
    </row>
    <row r="1060" spans="1:2" x14ac:dyDescent="0.3">
      <c r="A1060" s="127">
        <v>44945</v>
      </c>
      <c r="B1060" s="442">
        <v>23.925000000000001</v>
      </c>
    </row>
    <row r="1061" spans="1:2" x14ac:dyDescent="0.3">
      <c r="A1061" s="127">
        <v>44946</v>
      </c>
      <c r="B1061" s="442">
        <v>23.92</v>
      </c>
    </row>
    <row r="1062" spans="1:2" x14ac:dyDescent="0.3">
      <c r="A1062" s="127">
        <v>44949</v>
      </c>
      <c r="B1062" s="442">
        <v>23.88</v>
      </c>
    </row>
    <row r="1063" spans="1:2" x14ac:dyDescent="0.3">
      <c r="A1063" s="127">
        <v>44950</v>
      </c>
      <c r="B1063" s="442">
        <v>23.875</v>
      </c>
    </row>
    <row r="1064" spans="1:2" x14ac:dyDescent="0.3">
      <c r="A1064" s="127">
        <v>44951</v>
      </c>
      <c r="B1064" s="442">
        <v>23.81</v>
      </c>
    </row>
    <row r="1065" spans="1:2" x14ac:dyDescent="0.3">
      <c r="A1065" s="127">
        <v>44952</v>
      </c>
      <c r="B1065" s="442">
        <v>23.82</v>
      </c>
    </row>
    <row r="1066" spans="1:2" x14ac:dyDescent="0.3">
      <c r="A1066" s="127">
        <v>44953</v>
      </c>
      <c r="B1066" s="442">
        <v>23.824999999999999</v>
      </c>
    </row>
    <row r="1067" spans="1:2" x14ac:dyDescent="0.3">
      <c r="A1067" s="127">
        <v>44954</v>
      </c>
      <c r="B1067" s="442">
        <v>23.824999999999999</v>
      </c>
    </row>
    <row r="1068" spans="1:2" x14ac:dyDescent="0.3">
      <c r="A1068" s="127">
        <v>44955</v>
      </c>
      <c r="B1068" s="442">
        <v>23.824999999999999</v>
      </c>
    </row>
    <row r="1069" spans="1:2" x14ac:dyDescent="0.3">
      <c r="A1069" s="127">
        <v>44956</v>
      </c>
      <c r="B1069" s="442">
        <v>23.86</v>
      </c>
    </row>
    <row r="1070" spans="1:2" x14ac:dyDescent="0.3">
      <c r="A1070" s="127">
        <v>44957</v>
      </c>
      <c r="B1070" s="442">
        <v>23.79</v>
      </c>
    </row>
    <row r="1071" spans="1:2" x14ac:dyDescent="0.3">
      <c r="A1071" s="127">
        <v>44958</v>
      </c>
      <c r="B1071" s="442">
        <v>23.77</v>
      </c>
    </row>
    <row r="1072" spans="1:2" x14ac:dyDescent="0.3">
      <c r="A1072" s="127">
        <v>44959</v>
      </c>
      <c r="B1072" s="442">
        <v>23.81</v>
      </c>
    </row>
    <row r="1073" spans="1:2" x14ac:dyDescent="0.3">
      <c r="A1073" s="127">
        <v>44960</v>
      </c>
      <c r="B1073" s="442">
        <v>23.725000000000001</v>
      </c>
    </row>
    <row r="1074" spans="1:2" x14ac:dyDescent="0.3">
      <c r="A1074" s="127">
        <v>44963</v>
      </c>
      <c r="B1074" s="442">
        <v>23.84</v>
      </c>
    </row>
    <row r="1075" spans="1:2" x14ac:dyDescent="0.3">
      <c r="A1075" s="127">
        <v>44964</v>
      </c>
      <c r="B1075" s="442">
        <v>23.83</v>
      </c>
    </row>
    <row r="1076" spans="1:2" x14ac:dyDescent="0.3">
      <c r="A1076" s="127">
        <v>44965</v>
      </c>
      <c r="B1076" s="442">
        <v>23.78</v>
      </c>
    </row>
    <row r="1077" spans="1:2" x14ac:dyDescent="0.3">
      <c r="A1077" s="127">
        <v>44966</v>
      </c>
      <c r="B1077" s="442">
        <v>23.695</v>
      </c>
    </row>
    <row r="1078" spans="1:2" x14ac:dyDescent="0.3">
      <c r="A1078" s="127">
        <v>44967</v>
      </c>
      <c r="B1078" s="442">
        <v>23.69</v>
      </c>
    </row>
    <row r="1079" spans="1:2" x14ac:dyDescent="0.3">
      <c r="A1079" s="127">
        <v>44968</v>
      </c>
      <c r="B1079" s="442">
        <v>23.69</v>
      </c>
    </row>
    <row r="1080" spans="1:2" x14ac:dyDescent="0.3">
      <c r="A1080" s="127">
        <v>44969</v>
      </c>
      <c r="B1080" s="442">
        <v>23.69</v>
      </c>
    </row>
    <row r="1081" spans="1:2" x14ac:dyDescent="0.3">
      <c r="A1081" s="127">
        <v>44970</v>
      </c>
      <c r="B1081" s="442">
        <v>23.74</v>
      </c>
    </row>
    <row r="1082" spans="1:2" x14ac:dyDescent="0.3">
      <c r="A1082" s="127">
        <v>44971</v>
      </c>
      <c r="B1082" s="442">
        <v>23.75</v>
      </c>
    </row>
    <row r="1083" spans="1:2" x14ac:dyDescent="0.3">
      <c r="A1083" s="127">
        <v>44972</v>
      </c>
      <c r="B1083" s="442">
        <v>23.664999999999999</v>
      </c>
    </row>
    <row r="1084" spans="1:2" x14ac:dyDescent="0.3">
      <c r="A1084" s="127">
        <v>44973</v>
      </c>
      <c r="B1084" s="442">
        <v>23.684999999999999</v>
      </c>
    </row>
    <row r="1085" spans="1:2" x14ac:dyDescent="0.3">
      <c r="A1085" s="127">
        <v>44974</v>
      </c>
      <c r="B1085" s="442">
        <v>23.715</v>
      </c>
    </row>
    <row r="1086" spans="1:2" x14ac:dyDescent="0.3">
      <c r="A1086" s="127">
        <v>44977</v>
      </c>
      <c r="B1086" s="442">
        <v>23.695</v>
      </c>
    </row>
    <row r="1087" spans="1:2" x14ac:dyDescent="0.3">
      <c r="A1087" s="127">
        <v>44978</v>
      </c>
      <c r="B1087" s="442">
        <v>23.73</v>
      </c>
    </row>
    <row r="1088" spans="1:2" x14ac:dyDescent="0.3">
      <c r="A1088" s="127">
        <v>44979</v>
      </c>
      <c r="B1088" s="442">
        <v>23.67</v>
      </c>
    </row>
    <row r="1089" spans="1:2" x14ac:dyDescent="0.3">
      <c r="A1089" s="127">
        <v>44980</v>
      </c>
      <c r="B1089" s="442">
        <v>23.684999999999999</v>
      </c>
    </row>
    <row r="1090" spans="1:2" x14ac:dyDescent="0.3">
      <c r="A1090" s="127">
        <v>44981</v>
      </c>
      <c r="B1090" s="442">
        <v>23.64</v>
      </c>
    </row>
    <row r="1091" spans="1:2" x14ac:dyDescent="0.3">
      <c r="A1091" s="127">
        <v>44984</v>
      </c>
      <c r="B1091" s="442">
        <v>23.62</v>
      </c>
    </row>
    <row r="1092" spans="1:2" x14ac:dyDescent="0.3">
      <c r="A1092" s="127">
        <v>44985</v>
      </c>
      <c r="B1092" s="442">
        <v>23.495000000000001</v>
      </c>
    </row>
    <row r="1093" spans="1:2" x14ac:dyDescent="0.3">
      <c r="A1093" s="127">
        <v>44986</v>
      </c>
      <c r="B1093" s="442">
        <v>23.425000000000001</v>
      </c>
    </row>
    <row r="1094" spans="1:2" x14ac:dyDescent="0.3">
      <c r="A1094" s="127">
        <v>44987</v>
      </c>
      <c r="B1094" s="442">
        <v>23.484999999999999</v>
      </c>
    </row>
    <row r="1095" spans="1:2" x14ac:dyDescent="0.3">
      <c r="A1095" s="127">
        <v>44988</v>
      </c>
      <c r="B1095" s="442">
        <v>23.51</v>
      </c>
    </row>
    <row r="1096" spans="1:2" x14ac:dyDescent="0.3">
      <c r="A1096" s="127">
        <v>44991</v>
      </c>
      <c r="B1096" s="442">
        <v>23.545000000000002</v>
      </c>
    </row>
    <row r="1097" spans="1:2" x14ac:dyDescent="0.3">
      <c r="A1097" s="127">
        <v>44992</v>
      </c>
      <c r="B1097" s="442">
        <v>23.495000000000001</v>
      </c>
    </row>
    <row r="1098" spans="1:2" x14ac:dyDescent="0.3">
      <c r="A1098" s="127">
        <v>44993</v>
      </c>
      <c r="B1098" s="442">
        <v>23.585000000000001</v>
      </c>
    </row>
    <row r="1099" spans="1:2" x14ac:dyDescent="0.3">
      <c r="A1099" s="127">
        <v>44994</v>
      </c>
      <c r="B1099" s="442">
        <v>23.62</v>
      </c>
    </row>
    <row r="1100" spans="1:2" x14ac:dyDescent="0.3">
      <c r="A1100" s="127">
        <v>44995</v>
      </c>
      <c r="B1100" s="442">
        <v>23.635000000000002</v>
      </c>
    </row>
    <row r="1101" spans="1:2" x14ac:dyDescent="0.3">
      <c r="A1101" s="127">
        <v>44998</v>
      </c>
      <c r="B1101" s="442">
        <v>23.745000000000001</v>
      </c>
    </row>
    <row r="1102" spans="1:2" x14ac:dyDescent="0.3">
      <c r="A1102" s="127">
        <v>44999</v>
      </c>
      <c r="B1102" s="442">
        <v>23.79</v>
      </c>
    </row>
    <row r="1103" spans="1:2" x14ac:dyDescent="0.3">
      <c r="A1103" s="127">
        <v>45000</v>
      </c>
      <c r="B1103" s="442">
        <v>23.94</v>
      </c>
    </row>
    <row r="1104" spans="1:2" x14ac:dyDescent="0.3">
      <c r="A1104" s="127">
        <v>45001</v>
      </c>
      <c r="B1104" s="442">
        <v>24.015000000000001</v>
      </c>
    </row>
    <row r="1105" spans="1:2" x14ac:dyDescent="0.3">
      <c r="A1105" s="127">
        <v>45002</v>
      </c>
      <c r="B1105" s="442">
        <v>23.95</v>
      </c>
    </row>
    <row r="1106" spans="1:2" x14ac:dyDescent="0.3">
      <c r="A1106" s="127">
        <v>45005</v>
      </c>
      <c r="B1106" s="442">
        <v>23.984999999999999</v>
      </c>
    </row>
    <row r="1107" spans="1:2" x14ac:dyDescent="0.3">
      <c r="A1107" s="127">
        <v>45006</v>
      </c>
      <c r="B1107" s="442">
        <v>23.844999999999999</v>
      </c>
    </row>
    <row r="1108" spans="1:2" x14ac:dyDescent="0.3">
      <c r="A1108" s="127">
        <v>45007</v>
      </c>
      <c r="B1108" s="442">
        <v>23.72</v>
      </c>
    </row>
    <row r="1109" spans="1:2" x14ac:dyDescent="0.3">
      <c r="A1109" s="127">
        <v>45008</v>
      </c>
      <c r="B1109" s="442">
        <v>23.66</v>
      </c>
    </row>
    <row r="1110" spans="1:2" x14ac:dyDescent="0.3">
      <c r="A1110" s="127">
        <v>45009</v>
      </c>
      <c r="B1110" s="442">
        <v>23.68</v>
      </c>
    </row>
    <row r="1111" spans="1:2" x14ac:dyDescent="0.3">
      <c r="A1111" s="127">
        <v>45012</v>
      </c>
      <c r="B1111" s="442">
        <v>23.734999999999999</v>
      </c>
    </row>
    <row r="1112" spans="1:2" x14ac:dyDescent="0.3">
      <c r="A1112" s="127">
        <v>45013</v>
      </c>
      <c r="B1112" s="442">
        <v>23.664999999999999</v>
      </c>
    </row>
    <row r="1113" spans="1:2" x14ac:dyDescent="0.3">
      <c r="A1113" s="127">
        <v>45014</v>
      </c>
      <c r="B1113" s="442">
        <v>23.63</v>
      </c>
    </row>
    <row r="1114" spans="1:2" x14ac:dyDescent="0.3">
      <c r="A1114" s="127">
        <v>45015</v>
      </c>
      <c r="B1114" s="442">
        <v>23.55</v>
      </c>
    </row>
    <row r="1115" spans="1:2" x14ac:dyDescent="0.3">
      <c r="A1115" s="127">
        <v>45016</v>
      </c>
      <c r="B1115" s="442">
        <v>23.49</v>
      </c>
    </row>
    <row r="1116" spans="1:2" x14ac:dyDescent="0.3">
      <c r="A1116" s="127">
        <v>45019</v>
      </c>
      <c r="B1116" s="442">
        <v>23.44</v>
      </c>
    </row>
    <row r="1117" spans="1:2" x14ac:dyDescent="0.3">
      <c r="A1117" s="127">
        <v>45020</v>
      </c>
      <c r="B1117" s="442">
        <v>23.42</v>
      </c>
    </row>
    <row r="1118" spans="1:2" x14ac:dyDescent="0.3">
      <c r="A1118" s="127">
        <v>45021</v>
      </c>
      <c r="B1118" s="442">
        <v>23.425000000000001</v>
      </c>
    </row>
    <row r="1119" spans="1:2" x14ac:dyDescent="0.3">
      <c r="A1119" s="127">
        <v>45022</v>
      </c>
      <c r="B1119" s="442">
        <v>23.41</v>
      </c>
    </row>
    <row r="1120" spans="1:2" x14ac:dyDescent="0.3">
      <c r="A1120" s="127">
        <v>45027</v>
      </c>
      <c r="B1120" s="442">
        <v>23.48</v>
      </c>
    </row>
    <row r="1121" spans="1:2" x14ac:dyDescent="0.3">
      <c r="A1121" s="127">
        <v>45028</v>
      </c>
      <c r="B1121" s="442">
        <v>23.42</v>
      </c>
    </row>
    <row r="1122" spans="1:2" x14ac:dyDescent="0.3">
      <c r="A1122" s="127">
        <v>45029</v>
      </c>
      <c r="B1122" s="442">
        <v>23.274999999999999</v>
      </c>
    </row>
    <row r="1123" spans="1:2" x14ac:dyDescent="0.3">
      <c r="A1123" s="127">
        <v>45030</v>
      </c>
      <c r="B1123" s="442">
        <v>23.344999999999999</v>
      </c>
    </row>
    <row r="1124" spans="1:2" x14ac:dyDescent="0.3">
      <c r="A1124" s="127">
        <v>45033</v>
      </c>
      <c r="B1124" s="442">
        <v>23.355</v>
      </c>
    </row>
    <row r="1125" spans="1:2" x14ac:dyDescent="0.3">
      <c r="A1125" s="127">
        <v>45034</v>
      </c>
      <c r="B1125" s="442">
        <v>23.375</v>
      </c>
    </row>
    <row r="1126" spans="1:2" x14ac:dyDescent="0.3">
      <c r="A1126" s="127">
        <v>45035</v>
      </c>
      <c r="B1126" s="442">
        <v>23.47</v>
      </c>
    </row>
    <row r="1127" spans="1:2" x14ac:dyDescent="0.3">
      <c r="A1127" s="127">
        <v>45036</v>
      </c>
      <c r="B1127" s="442">
        <v>23.5</v>
      </c>
    </row>
    <row r="1128" spans="1:2" x14ac:dyDescent="0.3">
      <c r="A1128" s="127">
        <v>45037</v>
      </c>
      <c r="B1128" s="442">
        <v>23.55</v>
      </c>
    </row>
    <row r="1129" spans="1:2" x14ac:dyDescent="0.3">
      <c r="A1129" s="127">
        <v>45040</v>
      </c>
      <c r="B1129" s="442">
        <v>23.445</v>
      </c>
    </row>
    <row r="1130" spans="1:2" x14ac:dyDescent="0.3">
      <c r="A1130" s="127">
        <v>45041</v>
      </c>
      <c r="B1130" s="442">
        <v>23.47</v>
      </c>
    </row>
    <row r="1131" spans="1:2" x14ac:dyDescent="0.3">
      <c r="A1131" s="127">
        <v>45042</v>
      </c>
      <c r="B1131" s="442">
        <v>23.495000000000001</v>
      </c>
    </row>
    <row r="1132" spans="1:2" x14ac:dyDescent="0.3">
      <c r="A1132" s="127">
        <v>45043</v>
      </c>
      <c r="B1132" s="442">
        <v>23.504999999999999</v>
      </c>
    </row>
    <row r="1133" spans="1:2" x14ac:dyDescent="0.3">
      <c r="A1133" s="127">
        <v>45044</v>
      </c>
      <c r="B1133" s="442">
        <v>23.504999999999999</v>
      </c>
    </row>
    <row r="1134" spans="1:2" x14ac:dyDescent="0.3">
      <c r="A1134" s="127">
        <v>45045</v>
      </c>
      <c r="B1134" s="442">
        <v>23.504999999999999</v>
      </c>
    </row>
    <row r="1135" spans="1:2" x14ac:dyDescent="0.3">
      <c r="A1135" s="127">
        <v>45046</v>
      </c>
      <c r="B1135" s="442">
        <v>23.504999999999999</v>
      </c>
    </row>
    <row r="1136" spans="1:2" x14ac:dyDescent="0.3">
      <c r="A1136" s="127">
        <v>45047</v>
      </c>
      <c r="B1136" s="442">
        <v>23.504999999999999</v>
      </c>
    </row>
    <row r="1137" spans="1:2" x14ac:dyDescent="0.3">
      <c r="A1137" s="127">
        <v>45048</v>
      </c>
      <c r="B1137" s="442">
        <v>23.594999999999999</v>
      </c>
    </row>
    <row r="1138" spans="1:2" x14ac:dyDescent="0.3">
      <c r="A1138" s="127">
        <v>45049</v>
      </c>
      <c r="B1138" s="442">
        <v>23.56</v>
      </c>
    </row>
    <row r="1139" spans="1:2" x14ac:dyDescent="0.3">
      <c r="A1139" s="127">
        <v>45050</v>
      </c>
      <c r="B1139" s="442">
        <v>23.46</v>
      </c>
    </row>
    <row r="1140" spans="1:2" x14ac:dyDescent="0.3">
      <c r="A1140" s="127">
        <v>45051</v>
      </c>
      <c r="B1140" s="442">
        <v>23.4</v>
      </c>
    </row>
    <row r="1141" spans="1:2" x14ac:dyDescent="0.3">
      <c r="A1141" s="127">
        <v>45055</v>
      </c>
      <c r="B1141" s="442">
        <v>23.364999999999998</v>
      </c>
    </row>
    <row r="1142" spans="1:2" x14ac:dyDescent="0.3">
      <c r="A1142" s="127">
        <v>45056</v>
      </c>
      <c r="B1142" s="442">
        <v>23.414999999999999</v>
      </c>
    </row>
    <row r="1143" spans="1:2" x14ac:dyDescent="0.3">
      <c r="A1143" s="127">
        <v>45057</v>
      </c>
      <c r="B1143" s="442">
        <v>23.5</v>
      </c>
    </row>
    <row r="1144" spans="1:2" x14ac:dyDescent="0.3">
      <c r="A1144" s="127">
        <v>45058</v>
      </c>
      <c r="B1144" s="442">
        <v>23.605</v>
      </c>
    </row>
    <row r="1145" spans="1:2" x14ac:dyDescent="0.3">
      <c r="A1145" s="127">
        <v>45061</v>
      </c>
      <c r="B1145" s="442">
        <v>23.565000000000001</v>
      </c>
    </row>
    <row r="1146" spans="1:2" x14ac:dyDescent="0.3">
      <c r="A1146" s="127">
        <v>45062</v>
      </c>
      <c r="B1146" s="442">
        <v>23.675000000000001</v>
      </c>
    </row>
    <row r="1147" spans="1:2" x14ac:dyDescent="0.3">
      <c r="A1147" s="127">
        <v>45063</v>
      </c>
      <c r="B1147" s="442">
        <v>23.635000000000002</v>
      </c>
    </row>
    <row r="1148" spans="1:2" x14ac:dyDescent="0.3">
      <c r="A1148" s="127">
        <v>45064</v>
      </c>
      <c r="B1148" s="442">
        <v>23.68</v>
      </c>
    </row>
    <row r="1149" spans="1:2" x14ac:dyDescent="0.3">
      <c r="A1149" s="127">
        <v>45065</v>
      </c>
      <c r="B1149" s="442">
        <v>23.754999999999999</v>
      </c>
    </row>
    <row r="1150" spans="1:2" x14ac:dyDescent="0.3">
      <c r="A1150" s="127">
        <v>45068</v>
      </c>
      <c r="B1150" s="442">
        <v>23.675000000000001</v>
      </c>
    </row>
    <row r="1151" spans="1:2" x14ac:dyDescent="0.3">
      <c r="A1151" s="127">
        <v>45069</v>
      </c>
      <c r="B1151" s="442">
        <v>23.675000000000001</v>
      </c>
    </row>
    <row r="1152" spans="1:2" x14ac:dyDescent="0.3">
      <c r="A1152" s="127">
        <v>45070</v>
      </c>
      <c r="B1152" s="442">
        <v>23.67</v>
      </c>
    </row>
    <row r="1153" spans="1:2" x14ac:dyDescent="0.3">
      <c r="A1153" s="127">
        <v>45071</v>
      </c>
      <c r="B1153" s="442">
        <v>23.645</v>
      </c>
    </row>
    <row r="1154" spans="1:2" x14ac:dyDescent="0.3">
      <c r="A1154" s="127">
        <v>45072</v>
      </c>
      <c r="B1154" s="442">
        <v>23.645</v>
      </c>
    </row>
    <row r="1155" spans="1:2" x14ac:dyDescent="0.3">
      <c r="A1155" s="127">
        <v>45075</v>
      </c>
      <c r="B1155" s="442">
        <v>23.695</v>
      </c>
    </row>
    <row r="1156" spans="1:2" x14ac:dyDescent="0.3">
      <c r="A1156" s="127">
        <v>45076</v>
      </c>
      <c r="B1156" s="442">
        <v>23.715</v>
      </c>
    </row>
    <row r="1157" spans="1:2" x14ac:dyDescent="0.3">
      <c r="A1157" s="127">
        <v>45077</v>
      </c>
      <c r="B1157" s="442">
        <v>23.745000000000001</v>
      </c>
    </row>
    <row r="1158" spans="1:2" x14ac:dyDescent="0.3">
      <c r="A1158" s="127">
        <v>45078</v>
      </c>
      <c r="B1158" s="442">
        <v>23.684999999999999</v>
      </c>
    </row>
    <row r="1159" spans="1:2" x14ac:dyDescent="0.3">
      <c r="A1159" s="127">
        <v>45079</v>
      </c>
      <c r="B1159" s="442">
        <v>23.655000000000001</v>
      </c>
    </row>
    <row r="1160" spans="1:2" x14ac:dyDescent="0.3">
      <c r="A1160" s="127">
        <v>45082</v>
      </c>
      <c r="B1160" s="442">
        <v>23.57</v>
      </c>
    </row>
    <row r="1161" spans="1:2" x14ac:dyDescent="0.3">
      <c r="A1161" s="127">
        <v>45083</v>
      </c>
      <c r="B1161" s="442">
        <v>23.52</v>
      </c>
    </row>
    <row r="1162" spans="1:2" x14ac:dyDescent="0.3">
      <c r="A1162" s="127">
        <v>45084</v>
      </c>
      <c r="B1162" s="442">
        <v>23.64</v>
      </c>
    </row>
    <row r="1163" spans="1:2" x14ac:dyDescent="0.3">
      <c r="A1163" s="127">
        <v>45085</v>
      </c>
      <c r="B1163" s="442">
        <v>23.625</v>
      </c>
    </row>
    <row r="1164" spans="1:2" x14ac:dyDescent="0.3">
      <c r="A1164" s="127">
        <v>45086</v>
      </c>
      <c r="B1164" s="442">
        <v>23.664999999999999</v>
      </c>
    </row>
    <row r="1165" spans="1:2" x14ac:dyDescent="0.3">
      <c r="A1165" s="127">
        <v>45089</v>
      </c>
      <c r="B1165" s="442">
        <v>23.76</v>
      </c>
    </row>
    <row r="1166" spans="1:2" x14ac:dyDescent="0.3">
      <c r="A1166" s="127">
        <v>45090</v>
      </c>
      <c r="B1166" s="442">
        <v>23.81</v>
      </c>
    </row>
    <row r="1167" spans="1:2" x14ac:dyDescent="0.3">
      <c r="A1167" s="127">
        <v>45091</v>
      </c>
      <c r="B1167" s="442">
        <v>23.795000000000002</v>
      </c>
    </row>
    <row r="1168" spans="1:2" x14ac:dyDescent="0.3">
      <c r="A1168" s="127">
        <v>45092</v>
      </c>
      <c r="B1168" s="442">
        <v>23.765000000000001</v>
      </c>
    </row>
    <row r="1169" spans="1:2" x14ac:dyDescent="0.3">
      <c r="A1169" s="127">
        <v>45093</v>
      </c>
      <c r="B1169" s="442">
        <v>23.82</v>
      </c>
    </row>
    <row r="1170" spans="1:2" x14ac:dyDescent="0.3">
      <c r="A1170" s="127">
        <v>45096</v>
      </c>
      <c r="B1170" s="442">
        <v>23.785</v>
      </c>
    </row>
    <row r="1171" spans="1:2" x14ac:dyDescent="0.3">
      <c r="A1171" s="127">
        <v>45097</v>
      </c>
      <c r="B1171" s="442">
        <v>23.745000000000001</v>
      </c>
    </row>
    <row r="1172" spans="1:2" x14ac:dyDescent="0.3">
      <c r="A1172" s="127">
        <v>45098</v>
      </c>
      <c r="B1172" s="442">
        <v>23.76</v>
      </c>
    </row>
    <row r="1173" spans="1:2" x14ac:dyDescent="0.3">
      <c r="A1173" s="127">
        <v>45099</v>
      </c>
      <c r="B1173" s="442">
        <v>23.675000000000001</v>
      </c>
    </row>
    <row r="1174" spans="1:2" x14ac:dyDescent="0.3">
      <c r="A1174" s="127">
        <v>45100</v>
      </c>
      <c r="B1174" s="442">
        <v>23.66</v>
      </c>
    </row>
    <row r="1175" spans="1:2" x14ac:dyDescent="0.3">
      <c r="A1175" s="127">
        <v>45103</v>
      </c>
      <c r="B1175" s="442">
        <v>23.655000000000001</v>
      </c>
    </row>
    <row r="1176" spans="1:2" x14ac:dyDescent="0.3">
      <c r="A1176" s="127">
        <v>45104</v>
      </c>
      <c r="B1176" s="442">
        <v>23.605</v>
      </c>
    </row>
    <row r="1177" spans="1:2" x14ac:dyDescent="0.3">
      <c r="A1177" s="127">
        <v>45105</v>
      </c>
      <c r="B1177" s="442">
        <v>23.69</v>
      </c>
    </row>
    <row r="1178" spans="1:2" x14ac:dyDescent="0.3">
      <c r="A1178" s="127">
        <v>45106</v>
      </c>
      <c r="B1178" s="442">
        <v>23.695</v>
      </c>
    </row>
    <row r="1179" spans="1:2" x14ac:dyDescent="0.3">
      <c r="A1179" s="127">
        <v>45107</v>
      </c>
      <c r="B1179" s="442">
        <v>23.73</v>
      </c>
    </row>
    <row r="1180" spans="1:2" x14ac:dyDescent="0.3">
      <c r="A1180" s="127">
        <v>45108</v>
      </c>
      <c r="B1180" s="442">
        <v>23.73</v>
      </c>
    </row>
    <row r="1181" spans="1:2" x14ac:dyDescent="0.3">
      <c r="A1181" s="127">
        <v>45110</v>
      </c>
      <c r="B1181" s="442">
        <v>23.71</v>
      </c>
    </row>
    <row r="1182" spans="1:2" x14ac:dyDescent="0.3">
      <c r="A1182" s="127">
        <v>45111</v>
      </c>
      <c r="B1182" s="442">
        <v>23.695</v>
      </c>
    </row>
    <row r="1183" spans="1:2" x14ac:dyDescent="0.3">
      <c r="A1183" s="127">
        <v>45114</v>
      </c>
      <c r="B1183" s="442">
        <v>23.945</v>
      </c>
    </row>
    <row r="1184" spans="1:2" x14ac:dyDescent="0.3">
      <c r="A1184" s="127">
        <v>45117</v>
      </c>
      <c r="B1184" s="442">
        <v>23.84</v>
      </c>
    </row>
    <row r="1185" spans="1:2" x14ac:dyDescent="0.3">
      <c r="A1185" s="127">
        <v>45118</v>
      </c>
      <c r="B1185" s="442">
        <v>23.85</v>
      </c>
    </row>
    <row r="1186" spans="1:2" x14ac:dyDescent="0.3">
      <c r="A1186" s="127">
        <v>45119</v>
      </c>
      <c r="B1186" s="442">
        <v>23.824999999999999</v>
      </c>
    </row>
    <row r="1187" spans="1:2" x14ac:dyDescent="0.3">
      <c r="A1187" s="127">
        <v>45120</v>
      </c>
      <c r="B1187" s="442">
        <v>23.75</v>
      </c>
    </row>
    <row r="1188" spans="1:2" x14ac:dyDescent="0.3">
      <c r="A1188" s="127">
        <v>45121</v>
      </c>
      <c r="B1188" s="442">
        <v>23.774999999999999</v>
      </c>
    </row>
    <row r="1189" spans="1:2" x14ac:dyDescent="0.3">
      <c r="A1189" s="127">
        <v>45124</v>
      </c>
      <c r="B1189" s="442">
        <v>23.76</v>
      </c>
    </row>
    <row r="1190" spans="1:2" x14ac:dyDescent="0.3">
      <c r="A1190" s="127">
        <v>45125</v>
      </c>
      <c r="B1190" s="442">
        <v>23.82</v>
      </c>
    </row>
    <row r="1191" spans="1:2" x14ac:dyDescent="0.3">
      <c r="A1191" s="127">
        <v>45126</v>
      </c>
      <c r="B1191" s="442">
        <v>23.925000000000001</v>
      </c>
    </row>
    <row r="1192" spans="1:2" x14ac:dyDescent="0.3">
      <c r="A1192" s="127">
        <v>45127</v>
      </c>
      <c r="B1192" s="442">
        <v>23.96</v>
      </c>
    </row>
    <row r="1193" spans="1:2" x14ac:dyDescent="0.3">
      <c r="A1193" s="127">
        <v>45128</v>
      </c>
      <c r="B1193" s="442">
        <v>24.05</v>
      </c>
    </row>
    <row r="1194" spans="1:2" x14ac:dyDescent="0.3">
      <c r="A1194" s="127">
        <v>45131</v>
      </c>
      <c r="B1194" s="442">
        <v>24.16</v>
      </c>
    </row>
    <row r="1195" spans="1:2" x14ac:dyDescent="0.3">
      <c r="A1195" s="127">
        <v>45132</v>
      </c>
      <c r="B1195" s="442">
        <v>24.045000000000002</v>
      </c>
    </row>
    <row r="1196" spans="1:2" x14ac:dyDescent="0.3">
      <c r="A1196" s="127">
        <v>45133</v>
      </c>
      <c r="B1196" s="442">
        <v>24.05</v>
      </c>
    </row>
    <row r="1197" spans="1:2" x14ac:dyDescent="0.3">
      <c r="A1197" s="127">
        <v>45134</v>
      </c>
      <c r="B1197" s="442">
        <v>24.055</v>
      </c>
    </row>
    <row r="1198" spans="1:2" x14ac:dyDescent="0.3">
      <c r="A1198" s="127">
        <v>45135</v>
      </c>
      <c r="B1198" s="442">
        <v>24.02</v>
      </c>
    </row>
    <row r="1199" spans="1:2" x14ac:dyDescent="0.3">
      <c r="A1199" s="127">
        <v>45138</v>
      </c>
      <c r="B1199" s="442">
        <v>23.91</v>
      </c>
    </row>
    <row r="1200" spans="1:2" x14ac:dyDescent="0.3">
      <c r="A1200" s="127">
        <v>45139</v>
      </c>
      <c r="B1200" s="442">
        <v>23.95</v>
      </c>
    </row>
    <row r="1201" spans="1:2" x14ac:dyDescent="0.3">
      <c r="A1201" s="127">
        <v>45140</v>
      </c>
      <c r="B1201" s="442">
        <v>23.92</v>
      </c>
    </row>
    <row r="1202" spans="1:2" x14ac:dyDescent="0.3">
      <c r="A1202" s="127">
        <v>45141</v>
      </c>
      <c r="B1202" s="442">
        <v>24.024999999999999</v>
      </c>
    </row>
    <row r="1203" spans="1:2" x14ac:dyDescent="0.3">
      <c r="A1203" s="127">
        <v>45142</v>
      </c>
      <c r="B1203" s="442">
        <v>24.28</v>
      </c>
    </row>
    <row r="1204" spans="1:2" x14ac:dyDescent="0.3">
      <c r="A1204" s="127">
        <v>45145</v>
      </c>
      <c r="B1204" s="442">
        <v>24.245000000000001</v>
      </c>
    </row>
    <row r="1205" spans="1:2" x14ac:dyDescent="0.3">
      <c r="A1205" s="127">
        <v>45146</v>
      </c>
      <c r="B1205" s="442">
        <v>24.245000000000001</v>
      </c>
    </row>
    <row r="1206" spans="1:2" x14ac:dyDescent="0.3">
      <c r="A1206" s="127">
        <v>45147</v>
      </c>
      <c r="B1206" s="442">
        <v>24.3</v>
      </c>
    </row>
    <row r="1207" spans="1:2" x14ac:dyDescent="0.3">
      <c r="A1207" s="127">
        <v>45148</v>
      </c>
      <c r="B1207" s="442">
        <v>24.24</v>
      </c>
    </row>
    <row r="1208" spans="1:2" x14ac:dyDescent="0.3">
      <c r="A1208" s="127">
        <v>45149</v>
      </c>
      <c r="B1208" s="442">
        <v>24.094999999999999</v>
      </c>
    </row>
    <row r="1209" spans="1:2" x14ac:dyDescent="0.3">
      <c r="A1209" s="127">
        <v>45152</v>
      </c>
      <c r="B1209" s="442">
        <v>24.045000000000002</v>
      </c>
    </row>
    <row r="1210" spans="1:2" x14ac:dyDescent="0.3">
      <c r="A1210" s="127">
        <v>45153</v>
      </c>
      <c r="B1210" s="442">
        <v>24.14</v>
      </c>
    </row>
    <row r="1211" spans="1:2" x14ac:dyDescent="0.3">
      <c r="A1211" s="127">
        <v>45154</v>
      </c>
      <c r="B1211" s="442">
        <v>24.07</v>
      </c>
    </row>
    <row r="1212" spans="1:2" x14ac:dyDescent="0.3">
      <c r="A1212" s="127">
        <v>45155</v>
      </c>
      <c r="B1212" s="442">
        <v>24.074999999999999</v>
      </c>
    </row>
    <row r="1213" spans="1:2" x14ac:dyDescent="0.3">
      <c r="A1213" s="127">
        <v>45156</v>
      </c>
      <c r="B1213" s="442">
        <v>24.035</v>
      </c>
    </row>
    <row r="1214" spans="1:2" x14ac:dyDescent="0.3">
      <c r="A1214" s="127">
        <v>45159</v>
      </c>
      <c r="B1214" s="442">
        <v>24.024999999999999</v>
      </c>
    </row>
    <row r="1215" spans="1:2" x14ac:dyDescent="0.3">
      <c r="A1215" s="127">
        <v>45160</v>
      </c>
      <c r="B1215" s="442">
        <v>24.004999999999999</v>
      </c>
    </row>
    <row r="1216" spans="1:2" x14ac:dyDescent="0.3">
      <c r="A1216" s="127">
        <v>45161</v>
      </c>
      <c r="B1216" s="442">
        <v>24.135000000000002</v>
      </c>
    </row>
    <row r="1217" spans="1:2" x14ac:dyDescent="0.3">
      <c r="A1217" s="127">
        <v>45162</v>
      </c>
      <c r="B1217" s="442">
        <v>24.13</v>
      </c>
    </row>
    <row r="1218" spans="1:2" x14ac:dyDescent="0.3">
      <c r="A1218" s="127">
        <v>45163</v>
      </c>
      <c r="B1218" s="442">
        <v>24.13</v>
      </c>
    </row>
    <row r="1219" spans="1:2" x14ac:dyDescent="0.3">
      <c r="A1219" s="127">
        <v>45166</v>
      </c>
      <c r="B1219" s="442">
        <v>24.14</v>
      </c>
    </row>
    <row r="1220" spans="1:2" x14ac:dyDescent="0.3">
      <c r="A1220" s="127">
        <v>45167</v>
      </c>
      <c r="B1220" s="442">
        <v>24.16</v>
      </c>
    </row>
    <row r="1221" spans="1:2" x14ac:dyDescent="0.3">
      <c r="A1221" s="127">
        <v>45168</v>
      </c>
      <c r="B1221" s="442">
        <v>24.105</v>
      </c>
    </row>
    <row r="1222" spans="1:2" x14ac:dyDescent="0.3">
      <c r="A1222" s="127">
        <v>45169</v>
      </c>
      <c r="B1222" s="442">
        <v>24.074999999999999</v>
      </c>
    </row>
    <row r="1223" spans="1:2" x14ac:dyDescent="0.3">
      <c r="A1223" s="127">
        <v>45170</v>
      </c>
      <c r="B1223" s="442">
        <v>24.135000000000002</v>
      </c>
    </row>
    <row r="1224" spans="1:2" x14ac:dyDescent="0.3">
      <c r="A1224" s="127">
        <v>45173</v>
      </c>
      <c r="B1224" s="442">
        <v>24.105</v>
      </c>
    </row>
    <row r="1225" spans="1:2" x14ac:dyDescent="0.3">
      <c r="A1225" s="127">
        <v>45174</v>
      </c>
      <c r="B1225" s="442">
        <v>24.164999999999999</v>
      </c>
    </row>
    <row r="1226" spans="1:2" x14ac:dyDescent="0.3">
      <c r="A1226" s="127">
        <v>45175</v>
      </c>
      <c r="B1226" s="442">
        <v>24.215</v>
      </c>
    </row>
    <row r="1227" spans="1:2" x14ac:dyDescent="0.3">
      <c r="A1227" s="127">
        <v>45176</v>
      </c>
      <c r="B1227" s="442">
        <v>24.37</v>
      </c>
    </row>
    <row r="1228" spans="1:2" x14ac:dyDescent="0.3">
      <c r="A1228" s="127">
        <v>45177</v>
      </c>
      <c r="B1228" s="442">
        <v>24.465</v>
      </c>
    </row>
    <row r="1229" spans="1:2" x14ac:dyDescent="0.3">
      <c r="A1229" s="127">
        <v>45180</v>
      </c>
      <c r="B1229" s="442">
        <v>24.53</v>
      </c>
    </row>
    <row r="1230" spans="1:2" x14ac:dyDescent="0.3">
      <c r="A1230" s="127">
        <v>45181</v>
      </c>
      <c r="B1230" s="442">
        <v>24.59</v>
      </c>
    </row>
    <row r="1231" spans="1:2" x14ac:dyDescent="0.3">
      <c r="A1231" s="127">
        <v>45182</v>
      </c>
      <c r="B1231" s="442">
        <v>24.5</v>
      </c>
    </row>
    <row r="1232" spans="1:2" x14ac:dyDescent="0.3">
      <c r="A1232" s="127">
        <v>45183</v>
      </c>
      <c r="B1232" s="442">
        <v>24.475000000000001</v>
      </c>
    </row>
    <row r="1233" spans="1:2" x14ac:dyDescent="0.3">
      <c r="A1233" s="127">
        <v>45184</v>
      </c>
      <c r="B1233" s="442">
        <v>24.504999999999999</v>
      </c>
    </row>
    <row r="1234" spans="1:2" x14ac:dyDescent="0.3">
      <c r="A1234" s="127">
        <v>45187</v>
      </c>
      <c r="B1234" s="442">
        <v>24.41</v>
      </c>
    </row>
    <row r="1235" spans="1:2" x14ac:dyDescent="0.3">
      <c r="A1235" s="127">
        <v>45188</v>
      </c>
      <c r="B1235" s="442">
        <v>24.43</v>
      </c>
    </row>
    <row r="1236" spans="1:2" x14ac:dyDescent="0.3">
      <c r="A1236" s="127">
        <v>45189</v>
      </c>
      <c r="B1236" s="442">
        <v>24.395</v>
      </c>
    </row>
    <row r="1237" spans="1:2" x14ac:dyDescent="0.3">
      <c r="A1237" s="127">
        <v>45190</v>
      </c>
      <c r="B1237" s="442">
        <v>24.445</v>
      </c>
    </row>
    <row r="1238" spans="1:2" x14ac:dyDescent="0.3">
      <c r="A1238" s="127">
        <v>45191</v>
      </c>
      <c r="B1238" s="442">
        <v>24.385000000000002</v>
      </c>
    </row>
    <row r="1239" spans="1:2" x14ac:dyDescent="0.3">
      <c r="A1239" s="127">
        <v>45194</v>
      </c>
      <c r="B1239" s="442">
        <v>24.38</v>
      </c>
    </row>
    <row r="1240" spans="1:2" x14ac:dyDescent="0.3">
      <c r="A1240" s="127">
        <v>45195</v>
      </c>
      <c r="B1240" s="442">
        <v>24.425000000000001</v>
      </c>
    </row>
    <row r="1241" spans="1:2" x14ac:dyDescent="0.3">
      <c r="A1241" s="127">
        <v>45196</v>
      </c>
      <c r="B1241" s="442">
        <v>24.465</v>
      </c>
    </row>
    <row r="1242" spans="1:2" x14ac:dyDescent="0.3">
      <c r="A1242" s="127">
        <v>45198</v>
      </c>
      <c r="B1242" s="442">
        <v>24.34</v>
      </c>
    </row>
    <row r="1243" spans="1:2" x14ac:dyDescent="0.3">
      <c r="A1243" s="127">
        <v>45199</v>
      </c>
      <c r="B1243" s="442">
        <v>24.34</v>
      </c>
    </row>
    <row r="1244" spans="1:2" x14ac:dyDescent="0.3">
      <c r="A1244" s="127">
        <v>45201</v>
      </c>
      <c r="B1244" s="442">
        <v>24.46</v>
      </c>
    </row>
    <row r="1245" spans="1:2" x14ac:dyDescent="0.3">
      <c r="A1245" s="127">
        <v>45202</v>
      </c>
      <c r="B1245" s="442">
        <v>24.495000000000001</v>
      </c>
    </row>
    <row r="1246" spans="1:2" x14ac:dyDescent="0.3">
      <c r="A1246" s="127">
        <v>45203</v>
      </c>
      <c r="B1246" s="442">
        <v>24.43</v>
      </c>
    </row>
    <row r="1247" spans="1:2" x14ac:dyDescent="0.3">
      <c r="A1247" s="127">
        <v>45204</v>
      </c>
      <c r="B1247" s="442">
        <v>24.42</v>
      </c>
    </row>
    <row r="1248" spans="1:2" x14ac:dyDescent="0.3">
      <c r="A1248" s="127">
        <v>45205</v>
      </c>
      <c r="B1248" s="442">
        <v>24.44</v>
      </c>
    </row>
    <row r="1249" spans="1:2" x14ac:dyDescent="0.3">
      <c r="A1249" s="127">
        <v>45208</v>
      </c>
      <c r="B1249" s="442">
        <v>24.475000000000001</v>
      </c>
    </row>
    <row r="1250" spans="1:2" x14ac:dyDescent="0.3">
      <c r="A1250" s="127">
        <v>45209</v>
      </c>
      <c r="B1250" s="442">
        <v>24.565000000000001</v>
      </c>
    </row>
    <row r="1251" spans="1:2" x14ac:dyDescent="0.3">
      <c r="A1251" s="127">
        <v>45210</v>
      </c>
      <c r="B1251" s="442">
        <v>24.55</v>
      </c>
    </row>
    <row r="1252" spans="1:2" x14ac:dyDescent="0.3">
      <c r="A1252" s="127">
        <v>45211</v>
      </c>
      <c r="B1252" s="442">
        <v>24.56</v>
      </c>
    </row>
    <row r="1253" spans="1:2" x14ac:dyDescent="0.3">
      <c r="A1253" s="127">
        <v>45212</v>
      </c>
      <c r="B1253" s="442">
        <v>24.67</v>
      </c>
    </row>
    <row r="1254" spans="1:2" x14ac:dyDescent="0.3">
      <c r="A1254" s="127">
        <v>45215</v>
      </c>
      <c r="B1254" s="442">
        <v>24.66</v>
      </c>
    </row>
    <row r="1255" spans="1:2" x14ac:dyDescent="0.3">
      <c r="A1255" s="127">
        <v>45216</v>
      </c>
      <c r="B1255" s="442">
        <v>24.605</v>
      </c>
    </row>
    <row r="1256" spans="1:2" x14ac:dyDescent="0.3">
      <c r="A1256" s="127">
        <v>45217</v>
      </c>
      <c r="B1256" s="442">
        <v>24.68</v>
      </c>
    </row>
    <row r="1257" spans="1:2" x14ac:dyDescent="0.3">
      <c r="A1257" s="127">
        <v>45218</v>
      </c>
      <c r="B1257" s="442">
        <v>24.664999999999999</v>
      </c>
    </row>
    <row r="1258" spans="1:2" x14ac:dyDescent="0.3">
      <c r="A1258" s="127">
        <v>45219</v>
      </c>
      <c r="B1258" s="442">
        <v>24.704999999999998</v>
      </c>
    </row>
    <row r="1259" spans="1:2" x14ac:dyDescent="0.3">
      <c r="A1259" s="127">
        <v>45222</v>
      </c>
      <c r="B1259" s="442">
        <v>24.645</v>
      </c>
    </row>
    <row r="1260" spans="1:2" x14ac:dyDescent="0.3">
      <c r="A1260" s="127">
        <v>45223</v>
      </c>
      <c r="B1260" s="442">
        <v>24.66</v>
      </c>
    </row>
    <row r="1261" spans="1:2" x14ac:dyDescent="0.3">
      <c r="A1261" s="127">
        <v>45224</v>
      </c>
      <c r="B1261" s="442">
        <v>24.69</v>
      </c>
    </row>
    <row r="1262" spans="1:2" x14ac:dyDescent="0.3">
      <c r="A1262" s="127">
        <v>45225</v>
      </c>
      <c r="B1262" s="442">
        <v>24.715</v>
      </c>
    </row>
    <row r="1263" spans="1:2" x14ac:dyDescent="0.3">
      <c r="A1263" s="127">
        <v>45226</v>
      </c>
      <c r="B1263" s="442">
        <v>24.67</v>
      </c>
    </row>
    <row r="1264" spans="1:2" x14ac:dyDescent="0.3">
      <c r="A1264" s="127">
        <v>45229</v>
      </c>
      <c r="B1264" s="442">
        <v>24.565000000000001</v>
      </c>
    </row>
    <row r="1265" spans="1:2" x14ac:dyDescent="0.3">
      <c r="A1265" s="127">
        <v>45230</v>
      </c>
      <c r="B1265" s="442">
        <v>24.56</v>
      </c>
    </row>
    <row r="1266" spans="1:2" x14ac:dyDescent="0.3">
      <c r="A1266" s="127">
        <v>45231</v>
      </c>
      <c r="B1266" s="442">
        <v>24.684999999999999</v>
      </c>
    </row>
    <row r="1267" spans="1:2" x14ac:dyDescent="0.3">
      <c r="A1267" s="127">
        <v>45232</v>
      </c>
      <c r="B1267" s="442">
        <v>24.625</v>
      </c>
    </row>
    <row r="1268" spans="1:2" x14ac:dyDescent="0.3">
      <c r="A1268" s="127">
        <v>45233</v>
      </c>
      <c r="B1268" s="442">
        <v>24.414999999999999</v>
      </c>
    </row>
    <row r="1269" spans="1:2" x14ac:dyDescent="0.3">
      <c r="A1269" s="127">
        <v>45236</v>
      </c>
      <c r="B1269" s="442">
        <v>24.46</v>
      </c>
    </row>
    <row r="1270" spans="1:2" x14ac:dyDescent="0.3">
      <c r="A1270" s="127">
        <v>45237</v>
      </c>
      <c r="B1270" s="442">
        <v>24.635000000000002</v>
      </c>
    </row>
    <row r="1271" spans="1:2" x14ac:dyDescent="0.3">
      <c r="A1271" s="127">
        <v>45238</v>
      </c>
      <c r="B1271" s="442">
        <v>24.67</v>
      </c>
    </row>
    <row r="1272" spans="1:2" x14ac:dyDescent="0.3">
      <c r="A1272" s="127">
        <v>45239</v>
      </c>
      <c r="B1272" s="442">
        <v>24.555</v>
      </c>
    </row>
    <row r="1273" spans="1:2" x14ac:dyDescent="0.3">
      <c r="A1273" s="127">
        <v>45240</v>
      </c>
      <c r="B1273" s="442">
        <v>24.53</v>
      </c>
    </row>
    <row r="1274" spans="1:2" x14ac:dyDescent="0.3">
      <c r="A1274" s="127">
        <v>45243</v>
      </c>
      <c r="B1274" s="442">
        <v>24.59</v>
      </c>
    </row>
    <row r="1275" spans="1:2" x14ac:dyDescent="0.3">
      <c r="A1275" s="127">
        <v>45244</v>
      </c>
      <c r="B1275" s="442">
        <v>24.55</v>
      </c>
    </row>
    <row r="1276" spans="1:2" x14ac:dyDescent="0.3">
      <c r="A1276" s="127">
        <v>45245</v>
      </c>
      <c r="B1276" s="442">
        <v>24.504999999999999</v>
      </c>
    </row>
    <row r="1277" spans="1:2" x14ac:dyDescent="0.3">
      <c r="A1277" s="127">
        <v>45246</v>
      </c>
      <c r="B1277" s="442">
        <v>24.45</v>
      </c>
    </row>
    <row r="1278" spans="1:2" x14ac:dyDescent="0.3">
      <c r="A1278" s="127">
        <v>45250</v>
      </c>
      <c r="B1278" s="442">
        <v>24.545000000000002</v>
      </c>
    </row>
    <row r="1279" spans="1:2" x14ac:dyDescent="0.3">
      <c r="A1279" s="127">
        <v>45251</v>
      </c>
      <c r="B1279" s="442">
        <v>24.51</v>
      </c>
    </row>
    <row r="1280" spans="1:2" x14ac:dyDescent="0.3">
      <c r="A1280" s="127">
        <v>45252</v>
      </c>
      <c r="B1280" s="442">
        <v>24.484999999999999</v>
      </c>
    </row>
    <row r="1281" spans="1:2" x14ac:dyDescent="0.3">
      <c r="A1281" s="127">
        <v>45253</v>
      </c>
      <c r="B1281" s="442">
        <v>24.364999999999998</v>
      </c>
    </row>
    <row r="1282" spans="1:2" x14ac:dyDescent="0.3">
      <c r="A1282" s="127">
        <v>45254</v>
      </c>
      <c r="B1282" s="442">
        <v>24.41</v>
      </c>
    </row>
    <row r="1283" spans="1:2" x14ac:dyDescent="0.3">
      <c r="A1283" s="127">
        <v>45257</v>
      </c>
      <c r="B1283" s="442">
        <v>24.36</v>
      </c>
    </row>
    <row r="1284" spans="1:2" x14ac:dyDescent="0.3">
      <c r="A1284" s="127">
        <v>45258</v>
      </c>
      <c r="B1284" s="442">
        <v>24.37</v>
      </c>
    </row>
    <row r="1285" spans="1:2" x14ac:dyDescent="0.3">
      <c r="A1285" s="127">
        <v>45259</v>
      </c>
      <c r="B1285" s="442">
        <v>24.26</v>
      </c>
    </row>
    <row r="1286" spans="1:2" x14ac:dyDescent="0.3">
      <c r="A1286" s="127">
        <v>45260</v>
      </c>
      <c r="B1286" s="442">
        <v>24.29</v>
      </c>
    </row>
    <row r="1287" spans="1:2" x14ac:dyDescent="0.3">
      <c r="A1287" s="127">
        <v>45261</v>
      </c>
      <c r="B1287" s="442">
        <v>24.35</v>
      </c>
    </row>
    <row r="1288" spans="1:2" x14ac:dyDescent="0.3">
      <c r="A1288" s="127">
        <v>45264</v>
      </c>
      <c r="B1288" s="442">
        <v>24.39</v>
      </c>
    </row>
    <row r="1289" spans="1:2" x14ac:dyDescent="0.3">
      <c r="A1289" s="127">
        <v>45265</v>
      </c>
      <c r="B1289" s="442">
        <v>24.37</v>
      </c>
    </row>
    <row r="1290" spans="1:2" x14ac:dyDescent="0.3">
      <c r="A1290" s="127">
        <v>45266</v>
      </c>
      <c r="B1290" s="442">
        <v>24.36</v>
      </c>
    </row>
    <row r="1291" spans="1:2" x14ac:dyDescent="0.3">
      <c r="A1291" s="127">
        <v>45267</v>
      </c>
      <c r="B1291" s="442">
        <v>24.355</v>
      </c>
    </row>
    <row r="1292" spans="1:2" x14ac:dyDescent="0.3">
      <c r="A1292" s="127">
        <v>45268</v>
      </c>
      <c r="B1292" s="442">
        <v>24.355</v>
      </c>
    </row>
    <row r="1293" spans="1:2" x14ac:dyDescent="0.3">
      <c r="A1293" s="127">
        <v>45271</v>
      </c>
      <c r="B1293" s="442">
        <v>24.375</v>
      </c>
    </row>
    <row r="1294" spans="1:2" x14ac:dyDescent="0.3">
      <c r="A1294" s="127">
        <v>45272</v>
      </c>
      <c r="B1294" s="442">
        <v>24.425000000000001</v>
      </c>
    </row>
    <row r="1295" spans="1:2" x14ac:dyDescent="0.3">
      <c r="A1295" s="127">
        <v>45273</v>
      </c>
      <c r="B1295" s="442">
        <v>24.48</v>
      </c>
    </row>
    <row r="1296" spans="1:2" x14ac:dyDescent="0.3">
      <c r="A1296" s="127">
        <v>45274</v>
      </c>
      <c r="B1296" s="442">
        <v>24.41</v>
      </c>
    </row>
    <row r="1297" spans="1:2" x14ac:dyDescent="0.3">
      <c r="A1297" s="127">
        <v>45275</v>
      </c>
      <c r="B1297" s="442">
        <v>24.48</v>
      </c>
    </row>
    <row r="1298" spans="1:2" x14ac:dyDescent="0.3">
      <c r="A1298" s="127">
        <v>45278</v>
      </c>
      <c r="B1298" s="442">
        <v>24.55</v>
      </c>
    </row>
    <row r="1299" spans="1:2" x14ac:dyDescent="0.3">
      <c r="A1299" s="127">
        <v>45279</v>
      </c>
      <c r="B1299" s="442">
        <v>24.535</v>
      </c>
    </row>
    <row r="1300" spans="1:2" x14ac:dyDescent="0.3">
      <c r="A1300" s="127">
        <v>45280</v>
      </c>
      <c r="B1300" s="442">
        <v>24.54</v>
      </c>
    </row>
    <row r="1301" spans="1:2" x14ac:dyDescent="0.3">
      <c r="A1301" s="127">
        <v>45281</v>
      </c>
      <c r="B1301" s="442">
        <v>24.49</v>
      </c>
    </row>
    <row r="1302" spans="1:2" x14ac:dyDescent="0.3">
      <c r="A1302" s="127">
        <v>45282</v>
      </c>
      <c r="B1302" s="442">
        <v>24.59</v>
      </c>
    </row>
    <row r="1303" spans="1:2" x14ac:dyDescent="0.3">
      <c r="A1303" s="127">
        <v>45287</v>
      </c>
      <c r="B1303" s="442">
        <v>24.68</v>
      </c>
    </row>
    <row r="1304" spans="1:2" x14ac:dyDescent="0.3">
      <c r="A1304" s="127">
        <v>45288</v>
      </c>
      <c r="B1304" s="442">
        <v>24.715</v>
      </c>
    </row>
    <row r="1305" spans="1:2" x14ac:dyDescent="0.3">
      <c r="A1305" s="127">
        <v>45289</v>
      </c>
      <c r="B1305" s="442">
        <v>24.725000000000001</v>
      </c>
    </row>
    <row r="1306" spans="1:2" x14ac:dyDescent="0.3">
      <c r="A1306" s="127">
        <v>45290</v>
      </c>
      <c r="B1306" s="442">
        <v>24.725000000000001</v>
      </c>
    </row>
    <row r="1307" spans="1:2" x14ac:dyDescent="0.3">
      <c r="A1307" s="127">
        <v>45291</v>
      </c>
      <c r="B1307" s="442">
        <v>24.725000000000001</v>
      </c>
    </row>
    <row r="1308" spans="1:2" x14ac:dyDescent="0.3">
      <c r="A1308" s="127">
        <v>45292</v>
      </c>
      <c r="B1308" s="442">
        <v>24.725000000000001</v>
      </c>
    </row>
    <row r="1309" spans="1:2" x14ac:dyDescent="0.3">
      <c r="A1309" s="127">
        <v>45293</v>
      </c>
      <c r="B1309" s="442">
        <v>24.684999999999999</v>
      </c>
    </row>
    <row r="1310" spans="1:2" x14ac:dyDescent="0.3">
      <c r="A1310" s="127">
        <v>45294</v>
      </c>
      <c r="B1310" s="442">
        <v>24.675000000000001</v>
      </c>
    </row>
    <row r="1311" spans="1:2" x14ac:dyDescent="0.3">
      <c r="A1311" s="127">
        <v>45295</v>
      </c>
      <c r="B1311" s="442">
        <v>24.65</v>
      </c>
    </row>
    <row r="1312" spans="1:2" x14ac:dyDescent="0.3">
      <c r="A1312" s="127">
        <v>45296</v>
      </c>
      <c r="B1312" s="442">
        <v>24.6</v>
      </c>
    </row>
    <row r="1313" spans="1:2" x14ac:dyDescent="0.3">
      <c r="A1313" s="127">
        <v>45299</v>
      </c>
      <c r="B1313" s="442">
        <v>24.48</v>
      </c>
    </row>
    <row r="1314" spans="1:2" x14ac:dyDescent="0.3">
      <c r="A1314" s="127">
        <v>45300</v>
      </c>
      <c r="B1314" s="442">
        <v>24.6</v>
      </c>
    </row>
    <row r="1315" spans="1:2" x14ac:dyDescent="0.3">
      <c r="A1315" s="127">
        <v>45301</v>
      </c>
      <c r="B1315" s="442">
        <v>24.56</v>
      </c>
    </row>
    <row r="1316" spans="1:2" x14ac:dyDescent="0.3">
      <c r="A1316" s="127">
        <v>45302</v>
      </c>
      <c r="B1316" s="442">
        <v>24.655000000000001</v>
      </c>
    </row>
    <row r="1317" spans="1:2" x14ac:dyDescent="0.3">
      <c r="A1317" s="127">
        <v>45303</v>
      </c>
      <c r="B1317" s="442">
        <v>24.684999999999999</v>
      </c>
    </row>
    <row r="1318" spans="1:2" x14ac:dyDescent="0.3">
      <c r="A1318" s="127">
        <v>45306</v>
      </c>
      <c r="B1318" s="442">
        <v>24.715</v>
      </c>
    </row>
    <row r="1319" spans="1:2" x14ac:dyDescent="0.3">
      <c r="A1319" s="127">
        <v>45307</v>
      </c>
      <c r="B1319" s="442">
        <v>24.71</v>
      </c>
    </row>
    <row r="1320" spans="1:2" x14ac:dyDescent="0.3">
      <c r="A1320" s="127">
        <v>45308</v>
      </c>
      <c r="B1320" s="442">
        <v>24.754999999999999</v>
      </c>
    </row>
    <row r="1321" spans="1:2" x14ac:dyDescent="0.3">
      <c r="A1321" s="127">
        <v>45309</v>
      </c>
      <c r="B1321" s="442">
        <v>24.745000000000001</v>
      </c>
    </row>
    <row r="1322" spans="1:2" x14ac:dyDescent="0.3">
      <c r="A1322" s="127">
        <v>45310</v>
      </c>
      <c r="B1322" s="442">
        <v>24.81</v>
      </c>
    </row>
    <row r="1323" spans="1:2" x14ac:dyDescent="0.3">
      <c r="A1323" s="127">
        <v>45313</v>
      </c>
      <c r="B1323" s="442">
        <v>24.765000000000001</v>
      </c>
    </row>
    <row r="1324" spans="1:2" x14ac:dyDescent="0.3">
      <c r="A1324" s="127">
        <v>45314</v>
      </c>
      <c r="B1324" s="442">
        <v>24.835000000000001</v>
      </c>
    </row>
    <row r="1325" spans="1:2" x14ac:dyDescent="0.3">
      <c r="A1325" s="127">
        <v>45315</v>
      </c>
      <c r="B1325" s="442">
        <v>24.785</v>
      </c>
    </row>
    <row r="1326" spans="1:2" x14ac:dyDescent="0.3">
      <c r="A1326" s="127">
        <v>45316</v>
      </c>
      <c r="B1326" s="442">
        <v>24.76</v>
      </c>
    </row>
    <row r="1327" spans="1:2" x14ac:dyDescent="0.3">
      <c r="A1327" s="127">
        <v>45317</v>
      </c>
      <c r="B1327" s="442">
        <v>24.74</v>
      </c>
    </row>
    <row r="1328" spans="1:2" x14ac:dyDescent="0.3">
      <c r="A1328" s="127">
        <v>45320</v>
      </c>
      <c r="B1328" s="442">
        <v>24.815000000000001</v>
      </c>
    </row>
    <row r="1329" spans="1:2" x14ac:dyDescent="0.3">
      <c r="A1329" s="127">
        <v>45321</v>
      </c>
      <c r="B1329" s="442">
        <v>24.835000000000001</v>
      </c>
    </row>
    <row r="1330" spans="1:2" x14ac:dyDescent="0.3">
      <c r="A1330" s="127">
        <v>45322</v>
      </c>
      <c r="B1330" s="442">
        <v>24.885000000000002</v>
      </c>
    </row>
    <row r="1331" spans="1:2" x14ac:dyDescent="0.3">
      <c r="A1331" s="127">
        <v>45323</v>
      </c>
      <c r="B1331" s="442">
        <v>24.895</v>
      </c>
    </row>
    <row r="1332" spans="1:2" x14ac:dyDescent="0.3">
      <c r="A1332" s="127">
        <v>45324</v>
      </c>
      <c r="B1332" s="442">
        <v>24.875</v>
      </c>
    </row>
    <row r="1333" spans="1:2" x14ac:dyDescent="0.3">
      <c r="A1333" s="127">
        <v>45327</v>
      </c>
      <c r="B1333" s="442">
        <v>25.004999999999999</v>
      </c>
    </row>
    <row r="1334" spans="1:2" x14ac:dyDescent="0.3">
      <c r="A1334" s="127">
        <v>45328</v>
      </c>
      <c r="B1334" s="442">
        <v>24.925000000000001</v>
      </c>
    </row>
    <row r="1335" spans="1:2" x14ac:dyDescent="0.3">
      <c r="A1335" s="127">
        <v>45329</v>
      </c>
      <c r="B1335" s="442">
        <v>24.98</v>
      </c>
    </row>
    <row r="1336" spans="1:2" x14ac:dyDescent="0.3">
      <c r="A1336" s="127">
        <v>45330</v>
      </c>
      <c r="B1336" s="442">
        <v>24.954999999999998</v>
      </c>
    </row>
    <row r="1337" spans="1:2" x14ac:dyDescent="0.3">
      <c r="A1337" s="127">
        <v>45331</v>
      </c>
      <c r="B1337" s="442">
        <v>25.175000000000001</v>
      </c>
    </row>
    <row r="1338" spans="1:2" x14ac:dyDescent="0.3">
      <c r="A1338" s="127">
        <v>45334</v>
      </c>
      <c r="B1338" s="442">
        <v>25.215</v>
      </c>
    </row>
    <row r="1339" spans="1:2" x14ac:dyDescent="0.3">
      <c r="A1339" s="127">
        <v>45335</v>
      </c>
      <c r="B1339" s="442">
        <v>25.28</v>
      </c>
    </row>
    <row r="1340" spans="1:2" x14ac:dyDescent="0.3">
      <c r="A1340" s="127">
        <v>45336</v>
      </c>
      <c r="B1340" s="442">
        <v>25.35</v>
      </c>
    </row>
    <row r="1341" spans="1:2" x14ac:dyDescent="0.3">
      <c r="A1341" s="127">
        <v>45337</v>
      </c>
      <c r="B1341" s="442">
        <v>25.414999999999999</v>
      </c>
    </row>
    <row r="1342" spans="1:2" x14ac:dyDescent="0.3">
      <c r="A1342" s="127">
        <v>45338</v>
      </c>
      <c r="B1342" s="442">
        <v>25.454999999999998</v>
      </c>
    </row>
    <row r="1343" spans="1:2" x14ac:dyDescent="0.3">
      <c r="A1343" s="127">
        <v>45341</v>
      </c>
      <c r="B1343" s="442">
        <v>25.46</v>
      </c>
    </row>
    <row r="1344" spans="1:2" x14ac:dyDescent="0.3">
      <c r="A1344" s="127">
        <v>45342</v>
      </c>
      <c r="B1344" s="442">
        <v>25.425000000000001</v>
      </c>
    </row>
    <row r="1345" spans="1:2" x14ac:dyDescent="0.3">
      <c r="A1345" s="127">
        <v>45343</v>
      </c>
      <c r="B1345" s="442">
        <v>25.38</v>
      </c>
    </row>
    <row r="1346" spans="1:2" x14ac:dyDescent="0.3">
      <c r="A1346" s="127">
        <v>45344</v>
      </c>
      <c r="B1346" s="442">
        <v>25.32</v>
      </c>
    </row>
    <row r="1347" spans="1:2" x14ac:dyDescent="0.3">
      <c r="A1347" s="127">
        <v>45345</v>
      </c>
      <c r="B1347" s="442">
        <v>25.35</v>
      </c>
    </row>
    <row r="1348" spans="1:2" x14ac:dyDescent="0.3">
      <c r="A1348" s="127">
        <v>45348</v>
      </c>
      <c r="B1348" s="442">
        <v>25.364999999999998</v>
      </c>
    </row>
    <row r="1349" spans="1:2" x14ac:dyDescent="0.3">
      <c r="A1349" s="127">
        <v>45349</v>
      </c>
      <c r="B1349" s="442">
        <v>25.335000000000001</v>
      </c>
    </row>
    <row r="1350" spans="1:2" x14ac:dyDescent="0.3">
      <c r="A1350" s="127">
        <v>45350</v>
      </c>
      <c r="B1350" s="442">
        <v>25.35</v>
      </c>
    </row>
    <row r="1351" spans="1:2" x14ac:dyDescent="0.3">
      <c r="A1351" s="127">
        <v>45351</v>
      </c>
      <c r="B1351" s="442">
        <v>25.36</v>
      </c>
    </row>
    <row r="1352" spans="1:2" x14ac:dyDescent="0.3">
      <c r="A1352" s="127">
        <v>45352</v>
      </c>
      <c r="B1352" s="442">
        <v>25.33</v>
      </c>
    </row>
    <row r="1353" spans="1:2" x14ac:dyDescent="0.3">
      <c r="A1353" s="127">
        <v>45355</v>
      </c>
      <c r="B1353" s="442">
        <v>25.355</v>
      </c>
    </row>
    <row r="1354" spans="1:2" x14ac:dyDescent="0.3">
      <c r="A1354" s="127">
        <v>45356</v>
      </c>
      <c r="B1354" s="442">
        <v>25.355</v>
      </c>
    </row>
    <row r="1355" spans="1:2" x14ac:dyDescent="0.3">
      <c r="A1355" s="127">
        <v>45357</v>
      </c>
      <c r="B1355" s="442">
        <v>25.36</v>
      </c>
    </row>
    <row r="1356" spans="1:2" x14ac:dyDescent="0.3">
      <c r="A1356" s="127">
        <v>45358</v>
      </c>
      <c r="B1356" s="442">
        <v>25.36</v>
      </c>
    </row>
    <row r="1357" spans="1:2" x14ac:dyDescent="0.3">
      <c r="A1357" s="127">
        <v>45359</v>
      </c>
      <c r="B1357" s="442">
        <v>25.305</v>
      </c>
    </row>
    <row r="1358" spans="1:2" x14ac:dyDescent="0.3">
      <c r="A1358" s="127">
        <v>45362</v>
      </c>
      <c r="B1358" s="442">
        <v>25.324999999999999</v>
      </c>
    </row>
    <row r="1359" spans="1:2" x14ac:dyDescent="0.3">
      <c r="A1359" s="127">
        <v>45363</v>
      </c>
      <c r="B1359" s="442">
        <v>25.27</v>
      </c>
    </row>
    <row r="1360" spans="1:2" x14ac:dyDescent="0.3">
      <c r="A1360" s="127">
        <v>45364</v>
      </c>
      <c r="B1360" s="442">
        <v>25.27</v>
      </c>
    </row>
    <row r="1361" spans="1:2" x14ac:dyDescent="0.3">
      <c r="A1361" s="127">
        <v>45365</v>
      </c>
      <c r="B1361" s="442">
        <v>25.18</v>
      </c>
    </row>
    <row r="1362" spans="1:2" x14ac:dyDescent="0.3">
      <c r="A1362" s="127">
        <v>45366</v>
      </c>
      <c r="B1362" s="442">
        <v>25.155000000000001</v>
      </c>
    </row>
    <row r="1363" spans="1:2" x14ac:dyDescent="0.3">
      <c r="A1363" s="127">
        <v>45369</v>
      </c>
      <c r="B1363" s="442">
        <v>25.2</v>
      </c>
    </row>
    <row r="1364" spans="1:2" x14ac:dyDescent="0.3">
      <c r="A1364" s="127">
        <v>45370</v>
      </c>
      <c r="B1364" s="442">
        <v>25.265000000000001</v>
      </c>
    </row>
    <row r="1365" spans="1:2" x14ac:dyDescent="0.3">
      <c r="A1365" s="127">
        <v>45371</v>
      </c>
      <c r="B1365" s="442">
        <v>25.285</v>
      </c>
    </row>
    <row r="1366" spans="1:2" x14ac:dyDescent="0.3">
      <c r="A1366" s="127">
        <v>45372</v>
      </c>
      <c r="B1366" s="442">
        <v>25.25</v>
      </c>
    </row>
    <row r="1367" spans="1:2" x14ac:dyDescent="0.3">
      <c r="A1367" s="127">
        <v>45373</v>
      </c>
      <c r="B1367" s="442">
        <v>25.37</v>
      </c>
    </row>
    <row r="1368" spans="1:2" x14ac:dyDescent="0.3">
      <c r="A1368" s="127">
        <v>45376</v>
      </c>
      <c r="B1368" s="442">
        <v>25.265000000000001</v>
      </c>
    </row>
    <row r="1369" spans="1:2" x14ac:dyDescent="0.3">
      <c r="A1369" s="127">
        <v>45377</v>
      </c>
      <c r="B1369" s="442">
        <v>25.274999999999999</v>
      </c>
    </row>
    <row r="1370" spans="1:2" x14ac:dyDescent="0.3">
      <c r="A1370" s="127">
        <v>45378</v>
      </c>
      <c r="B1370" s="442">
        <v>25.32</v>
      </c>
    </row>
    <row r="1371" spans="1:2" x14ac:dyDescent="0.3">
      <c r="A1371" s="127">
        <v>45379</v>
      </c>
      <c r="B1371" s="442">
        <v>25.305</v>
      </c>
    </row>
    <row r="1372" spans="1:2" x14ac:dyDescent="0.3">
      <c r="A1372" s="127">
        <v>45380</v>
      </c>
      <c r="B1372" s="442">
        <v>25.305</v>
      </c>
    </row>
    <row r="1373" spans="1:2" x14ac:dyDescent="0.3">
      <c r="A1373" s="127">
        <v>45381</v>
      </c>
      <c r="B1373" s="442">
        <v>25.305</v>
      </c>
    </row>
    <row r="1374" spans="1:2" x14ac:dyDescent="0.3">
      <c r="A1374" s="127">
        <v>45382</v>
      </c>
      <c r="B1374" s="442">
        <v>25.305</v>
      </c>
    </row>
    <row r="1375" spans="1:2" x14ac:dyDescent="0.3">
      <c r="A1375" s="127">
        <v>45384</v>
      </c>
      <c r="B1375" s="442">
        <v>25.36</v>
      </c>
    </row>
    <row r="1376" spans="1:2" x14ac:dyDescent="0.3">
      <c r="A1376" s="127">
        <v>45385</v>
      </c>
      <c r="B1376" s="442">
        <v>25.355</v>
      </c>
    </row>
    <row r="1377" spans="1:2" x14ac:dyDescent="0.3">
      <c r="A1377" s="127">
        <v>45386</v>
      </c>
      <c r="B1377" s="442">
        <v>25.31</v>
      </c>
    </row>
    <row r="1378" spans="1:2" x14ac:dyDescent="0.3">
      <c r="A1378" s="127">
        <v>45387</v>
      </c>
      <c r="B1378" s="442">
        <v>25.29</v>
      </c>
    </row>
    <row r="1379" spans="1:2" x14ac:dyDescent="0.3">
      <c r="A1379" s="127">
        <v>45390</v>
      </c>
      <c r="B1379" s="442">
        <v>25.355</v>
      </c>
    </row>
    <row r="1380" spans="1:2" x14ac:dyDescent="0.3">
      <c r="A1380" s="127">
        <v>45391</v>
      </c>
      <c r="B1380" s="442">
        <v>25.38</v>
      </c>
    </row>
    <row r="1381" spans="1:2" x14ac:dyDescent="0.3">
      <c r="A1381" s="127">
        <v>45392</v>
      </c>
      <c r="B1381" s="442">
        <v>25.364999999999998</v>
      </c>
    </row>
    <row r="1382" spans="1:2" x14ac:dyDescent="0.3">
      <c r="A1382" s="127">
        <v>45393</v>
      </c>
      <c r="B1382" s="442">
        <v>25.395</v>
      </c>
    </row>
    <row r="1383" spans="1:2" x14ac:dyDescent="0.3">
      <c r="A1383" s="127">
        <v>45394</v>
      </c>
      <c r="B1383" s="442">
        <v>25.33</v>
      </c>
    </row>
    <row r="1384" spans="1:2" x14ac:dyDescent="0.3">
      <c r="A1384" s="127">
        <v>45397</v>
      </c>
      <c r="B1384" s="442">
        <v>25.324999999999999</v>
      </c>
    </row>
    <row r="1385" spans="1:2" x14ac:dyDescent="0.3">
      <c r="A1385" s="127">
        <v>45398</v>
      </c>
      <c r="B1385" s="442">
        <v>25.234999999999999</v>
      </c>
    </row>
    <row r="1386" spans="1:2" x14ac:dyDescent="0.3">
      <c r="A1386" s="127">
        <v>45399</v>
      </c>
      <c r="B1386" s="442">
        <v>25.23</v>
      </c>
    </row>
    <row r="1387" spans="1:2" x14ac:dyDescent="0.3">
      <c r="A1387" s="127">
        <v>45400</v>
      </c>
      <c r="B1387" s="442">
        <v>25.265000000000001</v>
      </c>
    </row>
    <row r="1388" spans="1:2" x14ac:dyDescent="0.3">
      <c r="A1388" s="127">
        <v>45401</v>
      </c>
      <c r="B1388" s="442">
        <v>25.265000000000001</v>
      </c>
    </row>
    <row r="1389" spans="1:2" x14ac:dyDescent="0.3">
      <c r="A1389" s="127">
        <v>45404</v>
      </c>
      <c r="B1389" s="442">
        <v>25.274999999999999</v>
      </c>
    </row>
    <row r="1390" spans="1:2" x14ac:dyDescent="0.3">
      <c r="A1390" s="127">
        <v>45405</v>
      </c>
      <c r="B1390" s="442">
        <v>25.265000000000001</v>
      </c>
    </row>
    <row r="1391" spans="1:2" x14ac:dyDescent="0.3">
      <c r="A1391" s="127">
        <v>45406</v>
      </c>
      <c r="B1391" s="442">
        <v>25.234999999999999</v>
      </c>
    </row>
    <row r="1392" spans="1:2" x14ac:dyDescent="0.3">
      <c r="A1392" s="127">
        <v>45407</v>
      </c>
      <c r="B1392" s="442">
        <v>25.155000000000001</v>
      </c>
    </row>
    <row r="1393" spans="1:2" x14ac:dyDescent="0.3">
      <c r="A1393" s="127">
        <v>45408</v>
      </c>
      <c r="B1393" s="442">
        <v>25.164999999999999</v>
      </c>
    </row>
    <row r="1394" spans="1:2" x14ac:dyDescent="0.3">
      <c r="A1394" s="127">
        <v>45411</v>
      </c>
      <c r="B1394" s="442">
        <v>25.175000000000001</v>
      </c>
    </row>
    <row r="1395" spans="1:2" x14ac:dyDescent="0.3">
      <c r="A1395" s="127">
        <v>45412</v>
      </c>
      <c r="B1395" s="442">
        <v>25.145</v>
      </c>
    </row>
    <row r="1396" spans="1:2" x14ac:dyDescent="0.3">
      <c r="A1396" s="127">
        <v>45414</v>
      </c>
      <c r="B1396" s="442">
        <v>25.09</v>
      </c>
    </row>
    <row r="1397" spans="1:2" x14ac:dyDescent="0.3">
      <c r="A1397" s="127">
        <v>45415</v>
      </c>
      <c r="B1397" s="442">
        <v>25.024999999999999</v>
      </c>
    </row>
    <row r="1398" spans="1:2" x14ac:dyDescent="0.3">
      <c r="A1398" s="127">
        <v>45418</v>
      </c>
      <c r="B1398" s="442">
        <v>24.995000000000001</v>
      </c>
    </row>
    <row r="1399" spans="1:2" x14ac:dyDescent="0.3">
      <c r="A1399" s="127">
        <v>45419</v>
      </c>
      <c r="B1399" s="442">
        <v>25.004999999999999</v>
      </c>
    </row>
    <row r="1400" spans="1:2" x14ac:dyDescent="0.3">
      <c r="A1400" s="127">
        <v>45421</v>
      </c>
      <c r="B1400" s="442">
        <v>24.94</v>
      </c>
    </row>
    <row r="1401" spans="1:2" x14ac:dyDescent="0.3">
      <c r="A1401" s="127">
        <v>45422</v>
      </c>
      <c r="B1401" s="442">
        <v>24.934999999999999</v>
      </c>
    </row>
    <row r="1402" spans="1:2" x14ac:dyDescent="0.3">
      <c r="A1402" s="127">
        <v>45425</v>
      </c>
      <c r="B1402" s="442">
        <v>24.774999999999999</v>
      </c>
    </row>
    <row r="1403" spans="1:2" x14ac:dyDescent="0.3">
      <c r="A1403" s="127">
        <v>45426</v>
      </c>
      <c r="B1403" s="442">
        <v>24.754999999999999</v>
      </c>
    </row>
    <row r="1404" spans="1:2" x14ac:dyDescent="0.3">
      <c r="A1404" s="127">
        <v>45427</v>
      </c>
      <c r="B1404" s="442">
        <v>24.76</v>
      </c>
    </row>
    <row r="1405" spans="1:2" x14ac:dyDescent="0.3">
      <c r="A1405" s="127">
        <v>45428</v>
      </c>
      <c r="B1405" s="442">
        <v>24.715</v>
      </c>
    </row>
    <row r="1406" spans="1:2" x14ac:dyDescent="0.3">
      <c r="A1406" s="127">
        <v>45429</v>
      </c>
      <c r="B1406" s="442">
        <v>24.71</v>
      </c>
    </row>
    <row r="1407" spans="1:2" x14ac:dyDescent="0.3">
      <c r="A1407" s="127">
        <v>45432</v>
      </c>
      <c r="B1407" s="442">
        <v>24.745000000000001</v>
      </c>
    </row>
    <row r="1408" spans="1:2" x14ac:dyDescent="0.3">
      <c r="A1408" s="127">
        <v>45433</v>
      </c>
      <c r="B1408" s="442">
        <v>24.68</v>
      </c>
    </row>
    <row r="1409" spans="1:2" x14ac:dyDescent="0.3">
      <c r="A1409" s="127">
        <v>45434</v>
      </c>
      <c r="B1409" s="442">
        <v>24.75</v>
      </c>
    </row>
    <row r="1410" spans="1:2" x14ac:dyDescent="0.3">
      <c r="A1410" s="127">
        <v>45435</v>
      </c>
      <c r="B1410" s="442">
        <v>24.734999999999999</v>
      </c>
    </row>
    <row r="1411" spans="1:2" x14ac:dyDescent="0.3">
      <c r="A1411" s="127">
        <v>45436</v>
      </c>
      <c r="B1411" s="442">
        <v>24.73</v>
      </c>
    </row>
    <row r="1412" spans="1:2" x14ac:dyDescent="0.3">
      <c r="A1412" s="127">
        <v>45439</v>
      </c>
      <c r="B1412" s="442">
        <v>24.734999999999999</v>
      </c>
    </row>
    <row r="1413" spans="1:2" x14ac:dyDescent="0.3">
      <c r="A1413" s="127">
        <v>45440</v>
      </c>
      <c r="B1413" s="442">
        <v>24.645</v>
      </c>
    </row>
    <row r="1414" spans="1:2" x14ac:dyDescent="0.3">
      <c r="A1414" s="127">
        <v>45441</v>
      </c>
      <c r="B1414" s="442">
        <v>24.725000000000001</v>
      </c>
    </row>
    <row r="1415" spans="1:2" x14ac:dyDescent="0.3">
      <c r="A1415" s="127">
        <v>45442</v>
      </c>
      <c r="B1415" s="442">
        <v>24.77</v>
      </c>
    </row>
    <row r="1416" spans="1:2" x14ac:dyDescent="0.3">
      <c r="A1416" s="127">
        <v>45443</v>
      </c>
      <c r="B1416" s="442">
        <v>24.704999999999998</v>
      </c>
    </row>
    <row r="1417" spans="1:2" x14ac:dyDescent="0.3">
      <c r="A1417" s="127">
        <v>45446</v>
      </c>
      <c r="B1417" s="442">
        <v>24.72</v>
      </c>
    </row>
    <row r="1418" spans="1:2" x14ac:dyDescent="0.3">
      <c r="A1418" s="127">
        <v>45447</v>
      </c>
      <c r="B1418" s="442">
        <v>24.765000000000001</v>
      </c>
    </row>
    <row r="1419" spans="1:2" x14ac:dyDescent="0.3">
      <c r="A1419" s="127">
        <v>45448</v>
      </c>
      <c r="B1419" s="442">
        <v>24.664999999999999</v>
      </c>
    </row>
    <row r="1420" spans="1:2" x14ac:dyDescent="0.3">
      <c r="A1420" s="127">
        <v>45449</v>
      </c>
      <c r="B1420" s="442">
        <v>24.635000000000002</v>
      </c>
    </row>
    <row r="1421" spans="1:2" x14ac:dyDescent="0.3">
      <c r="A1421" s="127">
        <v>45450</v>
      </c>
      <c r="B1421" s="442">
        <v>24.574999999999999</v>
      </c>
    </row>
    <row r="1422" spans="1:2" x14ac:dyDescent="0.3">
      <c r="A1422" s="127">
        <v>45453</v>
      </c>
      <c r="B1422" s="442">
        <v>24.635000000000002</v>
      </c>
    </row>
    <row r="1423" spans="1:2" x14ac:dyDescent="0.3">
      <c r="A1423" s="127">
        <v>45454</v>
      </c>
      <c r="B1423" s="442">
        <v>24.704999999999998</v>
      </c>
    </row>
    <row r="1424" spans="1:2" x14ac:dyDescent="0.3">
      <c r="A1424" s="127">
        <v>45455</v>
      </c>
      <c r="B1424" s="442">
        <v>24.695</v>
      </c>
    </row>
    <row r="1425" spans="1:2" x14ac:dyDescent="0.3">
      <c r="A1425" s="127">
        <v>45456</v>
      </c>
      <c r="B1425" s="442">
        <v>24.7</v>
      </c>
    </row>
    <row r="1426" spans="1:2" x14ac:dyDescent="0.3">
      <c r="A1426" s="127">
        <v>45457</v>
      </c>
      <c r="B1426" s="442">
        <v>24.74</v>
      </c>
    </row>
    <row r="1427" spans="1:2" x14ac:dyDescent="0.3">
      <c r="A1427" s="127">
        <v>45460</v>
      </c>
      <c r="B1427" s="442">
        <v>24.7</v>
      </c>
    </row>
    <row r="1428" spans="1:2" x14ac:dyDescent="0.3">
      <c r="A1428" s="127">
        <v>45461</v>
      </c>
      <c r="B1428" s="442">
        <v>24.765000000000001</v>
      </c>
    </row>
    <row r="1429" spans="1:2" x14ac:dyDescent="0.3">
      <c r="A1429" s="127">
        <v>45462</v>
      </c>
      <c r="B1429" s="442">
        <v>24.885000000000002</v>
      </c>
    </row>
    <row r="1430" spans="1:2" x14ac:dyDescent="0.3">
      <c r="A1430" s="127">
        <v>45463</v>
      </c>
      <c r="B1430" s="442">
        <v>24.895</v>
      </c>
    </row>
    <row r="1431" spans="1:2" x14ac:dyDescent="0.3">
      <c r="A1431" s="127">
        <v>45464</v>
      </c>
      <c r="B1431" s="442">
        <v>24.945</v>
      </c>
    </row>
    <row r="1432" spans="1:2" x14ac:dyDescent="0.3">
      <c r="A1432" s="127">
        <v>45467</v>
      </c>
      <c r="B1432" s="442">
        <v>24.885000000000002</v>
      </c>
    </row>
    <row r="1433" spans="1:2" x14ac:dyDescent="0.3">
      <c r="A1433" s="127">
        <v>45468</v>
      </c>
      <c r="B1433" s="442">
        <v>24.82</v>
      </c>
    </row>
    <row r="1434" spans="1:2" x14ac:dyDescent="0.3">
      <c r="A1434" s="127">
        <v>45469</v>
      </c>
      <c r="B1434" s="442">
        <v>24.895</v>
      </c>
    </row>
    <row r="1435" spans="1:2" x14ac:dyDescent="0.3">
      <c r="A1435" s="127">
        <v>45470</v>
      </c>
      <c r="B1435" s="442">
        <v>24.925000000000001</v>
      </c>
    </row>
    <row r="1436" spans="1:2" x14ac:dyDescent="0.3">
      <c r="A1436" s="127">
        <v>45471</v>
      </c>
      <c r="B1436" s="442">
        <v>25.03</v>
      </c>
    </row>
    <row r="1437" spans="1:2" x14ac:dyDescent="0.3">
      <c r="A1437" s="127">
        <v>45472</v>
      </c>
      <c r="B1437" s="442">
        <v>25.03</v>
      </c>
    </row>
    <row r="1438" spans="1:2" x14ac:dyDescent="0.3">
      <c r="A1438" s="127">
        <v>45473</v>
      </c>
      <c r="B1438" s="442">
        <v>25.03</v>
      </c>
    </row>
    <row r="1439" spans="1:2" x14ac:dyDescent="0.3">
      <c r="A1439" s="127">
        <v>45474</v>
      </c>
      <c r="B1439" s="442">
        <v>25.05</v>
      </c>
    </row>
    <row r="1440" spans="1:2" x14ac:dyDescent="0.3">
      <c r="A1440" s="127">
        <v>45475</v>
      </c>
      <c r="B1440" s="442">
        <v>25.195</v>
      </c>
    </row>
    <row r="1441" spans="1:2" x14ac:dyDescent="0.3">
      <c r="A1441" s="127">
        <v>45476</v>
      </c>
      <c r="B1441" s="442">
        <v>25.195</v>
      </c>
    </row>
    <row r="1442" spans="1:2" x14ac:dyDescent="0.3">
      <c r="A1442" s="127">
        <v>45477</v>
      </c>
      <c r="B1442" s="442">
        <v>25.145</v>
      </c>
    </row>
    <row r="1443" spans="1:2" x14ac:dyDescent="0.3">
      <c r="A1443" s="127">
        <v>45481</v>
      </c>
      <c r="B1443" s="442">
        <v>25.16</v>
      </c>
    </row>
    <row r="1444" spans="1:2" x14ac:dyDescent="0.3">
      <c r="A1444" s="127">
        <v>45482</v>
      </c>
      <c r="B1444" s="442">
        <v>25.24</v>
      </c>
    </row>
    <row r="1445" spans="1:2" x14ac:dyDescent="0.3">
      <c r="A1445" s="127">
        <v>45483</v>
      </c>
      <c r="B1445" s="442">
        <v>25.375</v>
      </c>
    </row>
    <row r="1446" spans="1:2" x14ac:dyDescent="0.3">
      <c r="A1446" s="127">
        <v>45484</v>
      </c>
      <c r="B1446" s="442">
        <v>25.36</v>
      </c>
    </row>
    <row r="1447" spans="1:2" x14ac:dyDescent="0.3">
      <c r="A1447" s="127">
        <v>45485</v>
      </c>
      <c r="B1447" s="442">
        <v>25.34</v>
      </c>
    </row>
    <row r="1448" spans="1:2" x14ac:dyDescent="0.3">
      <c r="A1448" s="127">
        <v>45488</v>
      </c>
      <c r="B1448" s="442">
        <v>25.425000000000001</v>
      </c>
    </row>
    <row r="1449" spans="1:2" x14ac:dyDescent="0.3">
      <c r="A1449" s="127">
        <v>45489</v>
      </c>
      <c r="B1449" s="442">
        <v>25.36</v>
      </c>
    </row>
    <row r="1450" spans="1:2" x14ac:dyDescent="0.3">
      <c r="A1450" s="127">
        <v>45490</v>
      </c>
      <c r="B1450" s="442">
        <v>25.29</v>
      </c>
    </row>
    <row r="1451" spans="1:2" x14ac:dyDescent="0.3">
      <c r="A1451" s="127">
        <v>45491</v>
      </c>
      <c r="B1451" s="442">
        <v>25.28</v>
      </c>
    </row>
    <row r="1452" spans="1:2" x14ac:dyDescent="0.3">
      <c r="A1452" s="127">
        <v>45492</v>
      </c>
      <c r="B1452" s="442">
        <v>25.254999999999999</v>
      </c>
    </row>
    <row r="1453" spans="1:2" x14ac:dyDescent="0.3">
      <c r="A1453" s="127">
        <v>45495</v>
      </c>
      <c r="B1453" s="442">
        <v>25.234999999999999</v>
      </c>
    </row>
    <row r="1454" spans="1:2" x14ac:dyDescent="0.3">
      <c r="A1454" s="127">
        <v>45496</v>
      </c>
      <c r="B1454" s="442">
        <v>25.375</v>
      </c>
    </row>
    <row r="1455" spans="1:2" x14ac:dyDescent="0.3">
      <c r="A1455" s="127">
        <v>45497</v>
      </c>
      <c r="B1455" s="442">
        <v>25.44</v>
      </c>
    </row>
    <row r="1456" spans="1:2" x14ac:dyDescent="0.3">
      <c r="A1456" s="127">
        <v>45498</v>
      </c>
      <c r="B1456" s="442">
        <v>25.375</v>
      </c>
    </row>
    <row r="1457" spans="1:2" x14ac:dyDescent="0.3">
      <c r="A1457" s="127">
        <v>45499</v>
      </c>
      <c r="B1457" s="442">
        <v>25.375</v>
      </c>
    </row>
    <row r="1458" spans="1:2" x14ac:dyDescent="0.3">
      <c r="A1458" s="127">
        <v>45502</v>
      </c>
      <c r="B1458" s="442">
        <v>25.37</v>
      </c>
    </row>
    <row r="1459" spans="1:2" x14ac:dyDescent="0.3">
      <c r="A1459" s="127">
        <v>45503</v>
      </c>
      <c r="B1459" s="442">
        <v>25.414999999999999</v>
      </c>
    </row>
    <row r="1460" spans="1:2" x14ac:dyDescent="0.3">
      <c r="A1460" s="127">
        <v>45504</v>
      </c>
      <c r="B1460" s="442">
        <v>25.46</v>
      </c>
    </row>
    <row r="1461" spans="1:2" x14ac:dyDescent="0.3">
      <c r="A1461" s="127">
        <v>45505</v>
      </c>
      <c r="B1461" s="442">
        <v>25.454999999999998</v>
      </c>
    </row>
    <row r="1462" spans="1:2" x14ac:dyDescent="0.3">
      <c r="A1462" s="127">
        <v>45506</v>
      </c>
      <c r="B1462" s="442">
        <v>25.26</v>
      </c>
    </row>
    <row r="1463" spans="1:2" x14ac:dyDescent="0.3">
      <c r="A1463" s="127">
        <v>45509</v>
      </c>
      <c r="B1463" s="442">
        <v>25.295000000000002</v>
      </c>
    </row>
    <row r="1464" spans="1:2" x14ac:dyDescent="0.3">
      <c r="A1464" s="127">
        <v>45510</v>
      </c>
      <c r="B1464" s="442">
        <v>25.305</v>
      </c>
    </row>
    <row r="1465" spans="1:2" x14ac:dyDescent="0.3">
      <c r="A1465" s="127">
        <v>45511</v>
      </c>
      <c r="B1465" s="442">
        <v>25.27</v>
      </c>
    </row>
    <row r="1466" spans="1:2" x14ac:dyDescent="0.3">
      <c r="A1466" s="127">
        <v>45512</v>
      </c>
      <c r="B1466" s="442">
        <v>25.27</v>
      </c>
    </row>
    <row r="1467" spans="1:2" x14ac:dyDescent="0.3">
      <c r="A1467" s="127">
        <v>45513</v>
      </c>
      <c r="B1467" s="442">
        <v>25.234999999999999</v>
      </c>
    </row>
    <row r="1468" spans="1:2" x14ac:dyDescent="0.3">
      <c r="A1468" s="127">
        <v>45516</v>
      </c>
      <c r="B1468" s="442">
        <v>25.19</v>
      </c>
    </row>
    <row r="1469" spans="1:2" x14ac:dyDescent="0.3">
      <c r="A1469" s="127">
        <v>45517</v>
      </c>
      <c r="B1469" s="442">
        <v>25.2</v>
      </c>
    </row>
    <row r="1470" spans="1:2" x14ac:dyDescent="0.3">
      <c r="A1470" s="127">
        <v>45518</v>
      </c>
      <c r="B1470" s="442">
        <v>25.2</v>
      </c>
    </row>
    <row r="1471" spans="1:2" x14ac:dyDescent="0.3">
      <c r="A1471" s="127">
        <v>45519</v>
      </c>
      <c r="B1471" s="442">
        <v>25.2</v>
      </c>
    </row>
    <row r="1472" spans="1:2" x14ac:dyDescent="0.3">
      <c r="A1472" s="127">
        <v>45520</v>
      </c>
      <c r="B1472" s="442">
        <v>25.234999999999999</v>
      </c>
    </row>
    <row r="1473" spans="1:2" x14ac:dyDescent="0.3">
      <c r="A1473" s="127">
        <v>45523</v>
      </c>
      <c r="B1473" s="442">
        <v>25.175000000000001</v>
      </c>
    </row>
    <row r="1474" spans="1:2" x14ac:dyDescent="0.3">
      <c r="A1474" s="127">
        <v>45524</v>
      </c>
      <c r="B1474" s="442">
        <v>25.16</v>
      </c>
    </row>
    <row r="1475" spans="1:2" x14ac:dyDescent="0.3">
      <c r="A1475" s="127">
        <v>45525</v>
      </c>
      <c r="B1475" s="442">
        <v>25.11</v>
      </c>
    </row>
    <row r="1476" spans="1:2" x14ac:dyDescent="0.3">
      <c r="A1476" s="127">
        <v>45526</v>
      </c>
      <c r="B1476" s="442">
        <v>25.1</v>
      </c>
    </row>
    <row r="1477" spans="1:2" x14ac:dyDescent="0.3">
      <c r="A1477" s="127">
        <v>45527</v>
      </c>
      <c r="B1477" s="442">
        <v>25.074999999999999</v>
      </c>
    </row>
    <row r="1478" spans="1:2" x14ac:dyDescent="0.3">
      <c r="A1478" s="127">
        <v>45530</v>
      </c>
      <c r="B1478" s="442">
        <v>25.03</v>
      </c>
    </row>
    <row r="1479" spans="1:2" x14ac:dyDescent="0.3">
      <c r="A1479" s="127">
        <v>45531</v>
      </c>
      <c r="B1479" s="442">
        <v>25.035</v>
      </c>
    </row>
    <row r="1480" spans="1:2" x14ac:dyDescent="0.3">
      <c r="A1480" s="127">
        <v>45532</v>
      </c>
      <c r="B1480" s="442">
        <v>25.055</v>
      </c>
    </row>
    <row r="1481" spans="1:2" x14ac:dyDescent="0.3">
      <c r="A1481" s="127">
        <v>45533</v>
      </c>
      <c r="B1481" s="442">
        <v>25.045000000000002</v>
      </c>
    </row>
    <row r="1482" spans="1:2" x14ac:dyDescent="0.3">
      <c r="A1482" s="127">
        <v>45534</v>
      </c>
      <c r="B1482" s="442">
        <v>25.03</v>
      </c>
    </row>
    <row r="1483" spans="1:2" x14ac:dyDescent="0.3">
      <c r="A1483" s="127">
        <v>45537</v>
      </c>
      <c r="B1483" s="442">
        <v>25.045000000000002</v>
      </c>
    </row>
    <row r="1484" spans="1:2" x14ac:dyDescent="0.3">
      <c r="A1484" s="127">
        <v>45538</v>
      </c>
      <c r="B1484" s="442">
        <v>25.07</v>
      </c>
    </row>
    <row r="1485" spans="1:2" x14ac:dyDescent="0.3">
      <c r="A1485" s="127">
        <v>45539</v>
      </c>
      <c r="B1485" s="442">
        <v>25.085000000000001</v>
      </c>
    </row>
    <row r="1486" spans="1:2" x14ac:dyDescent="0.3">
      <c r="A1486" s="127">
        <v>45540</v>
      </c>
      <c r="B1486" s="442">
        <v>25.02</v>
      </c>
    </row>
    <row r="1487" spans="1:2" x14ac:dyDescent="0.3">
      <c r="A1487" s="127">
        <v>45541</v>
      </c>
      <c r="B1487" s="442">
        <v>25.03</v>
      </c>
    </row>
    <row r="1488" spans="1:2" x14ac:dyDescent="0.3">
      <c r="A1488" s="127">
        <v>45544</v>
      </c>
      <c r="B1488" s="442">
        <v>25.05</v>
      </c>
    </row>
    <row r="1489" spans="1:2" x14ac:dyDescent="0.3">
      <c r="A1489" s="127">
        <v>45545</v>
      </c>
      <c r="B1489" s="442">
        <v>25.055</v>
      </c>
    </row>
    <row r="1490" spans="1:2" x14ac:dyDescent="0.3">
      <c r="A1490" s="127">
        <v>45546</v>
      </c>
      <c r="B1490" s="442">
        <v>25.09</v>
      </c>
    </row>
    <row r="1491" spans="1:2" x14ac:dyDescent="0.3">
      <c r="A1491" s="127">
        <v>45547</v>
      </c>
      <c r="B1491" s="442">
        <v>25.114999999999998</v>
      </c>
    </row>
    <row r="1492" spans="1:2" x14ac:dyDescent="0.3">
      <c r="A1492" s="127">
        <v>45548</v>
      </c>
      <c r="B1492" s="442">
        <v>25.145</v>
      </c>
    </row>
    <row r="1493" spans="1:2" x14ac:dyDescent="0.3">
      <c r="A1493" s="127">
        <v>45551</v>
      </c>
      <c r="B1493" s="442">
        <v>25.135000000000002</v>
      </c>
    </row>
    <row r="1494" spans="1:2" x14ac:dyDescent="0.3">
      <c r="A1494" s="127">
        <v>45552</v>
      </c>
      <c r="B1494" s="442">
        <v>25.114999999999998</v>
      </c>
    </row>
    <row r="1495" spans="1:2" x14ac:dyDescent="0.3">
      <c r="A1495" s="127">
        <v>45553</v>
      </c>
      <c r="B1495" s="442">
        <v>25.07</v>
      </c>
    </row>
    <row r="1496" spans="1:2" x14ac:dyDescent="0.3">
      <c r="A1496" s="127">
        <v>45554</v>
      </c>
      <c r="B1496" s="442">
        <v>25.085000000000001</v>
      </c>
    </row>
    <row r="1497" spans="1:2" x14ac:dyDescent="0.3">
      <c r="A1497" s="127">
        <v>45555</v>
      </c>
      <c r="B1497" s="442">
        <v>25.08</v>
      </c>
    </row>
  </sheetData>
  <autoFilter ref="A3:B259" xr:uid="{00000000-0009-0000-0000-00000E000000}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0EC1-E55F-4FB8-96BE-26768F2BC305}">
  <sheetPr codeName="List5">
    <tabColor rgb="FF92D050"/>
  </sheetPr>
  <dimension ref="B1:Q43"/>
  <sheetViews>
    <sheetView topLeftCell="A15" workbookViewId="0">
      <selection activeCell="J43" sqref="J43"/>
    </sheetView>
  </sheetViews>
  <sheetFormatPr defaultRowHeight="14.4" x14ac:dyDescent="0.3"/>
  <cols>
    <col min="3" max="3" width="30.77734375" bestFit="1" customWidth="1"/>
    <col min="4" max="9" width="15.6640625" style="65" customWidth="1"/>
    <col min="10" max="10" width="14.109375" style="65" bestFit="1" customWidth="1"/>
    <col min="11" max="11" width="11.109375" bestFit="1" customWidth="1"/>
    <col min="13" max="13" width="20" style="65" customWidth="1"/>
    <col min="14" max="14" width="17.5546875" style="101" bestFit="1" customWidth="1"/>
    <col min="16" max="16" width="12.6640625" style="485" bestFit="1" customWidth="1"/>
    <col min="17" max="17" width="13.109375" style="485" bestFit="1" customWidth="1"/>
  </cols>
  <sheetData>
    <row r="1" spans="2:17" ht="21" x14ac:dyDescent="0.3">
      <c r="B1" s="459" t="s">
        <v>785</v>
      </c>
      <c r="C1" s="403"/>
      <c r="D1" s="457" t="s">
        <v>916</v>
      </c>
      <c r="E1" s="403"/>
      <c r="F1" s="403"/>
      <c r="G1" s="403"/>
      <c r="H1" s="403"/>
      <c r="I1" s="455" t="s">
        <v>1574</v>
      </c>
      <c r="K1">
        <v>25.03</v>
      </c>
      <c r="M1" s="65" t="s">
        <v>1007</v>
      </c>
    </row>
    <row r="2" spans="2:17" ht="15" thickBot="1" x14ac:dyDescent="0.35">
      <c r="B2" s="465" t="s">
        <v>1586</v>
      </c>
      <c r="C2" s="461"/>
      <c r="D2" s="464" t="s">
        <v>787</v>
      </c>
      <c r="E2" s="461"/>
      <c r="F2" s="463" t="s">
        <v>1479</v>
      </c>
      <c r="G2" s="461"/>
      <c r="H2" s="461"/>
      <c r="I2" s="462" t="s">
        <v>788</v>
      </c>
    </row>
    <row r="3" spans="2:17" x14ac:dyDescent="0.3">
      <c r="B3" s="466" t="s">
        <v>789</v>
      </c>
      <c r="C3" s="466" t="s">
        <v>790</v>
      </c>
      <c r="D3" s="466" t="s">
        <v>791</v>
      </c>
      <c r="E3" s="466" t="s">
        <v>792</v>
      </c>
      <c r="F3" s="466" t="s">
        <v>793</v>
      </c>
      <c r="G3" s="466" t="s">
        <v>794</v>
      </c>
      <c r="H3" s="466" t="s">
        <v>795</v>
      </c>
      <c r="I3" s="466" t="s">
        <v>796</v>
      </c>
      <c r="M3" s="65" t="s">
        <v>1008</v>
      </c>
      <c r="N3" s="101" t="s">
        <v>648</v>
      </c>
      <c r="P3" s="485" t="s">
        <v>1611</v>
      </c>
      <c r="Q3" s="485" t="s">
        <v>648</v>
      </c>
    </row>
    <row r="4" spans="2:17" x14ac:dyDescent="0.3">
      <c r="B4" s="337" t="s">
        <v>772</v>
      </c>
      <c r="C4" s="337" t="s">
        <v>797</v>
      </c>
      <c r="D4" s="489">
        <v>741750000</v>
      </c>
      <c r="E4" s="489">
        <v>0</v>
      </c>
      <c r="F4" s="490">
        <v>17899692.850000001</v>
      </c>
      <c r="G4" s="490">
        <v>0</v>
      </c>
      <c r="H4" s="489">
        <f>D4+F4</f>
        <v>759649692.85000002</v>
      </c>
      <c r="I4" s="489">
        <f>E4+G4</f>
        <v>0</v>
      </c>
      <c r="J4" s="65">
        <f>H4-I4</f>
        <v>759649692.85000002</v>
      </c>
      <c r="M4" s="65">
        <f>VLOOKUP(B4,'TB IFRS'!A:J,10,0)*$K$1</f>
        <v>765224742.33790016</v>
      </c>
      <c r="N4" s="273">
        <f>J4-M4</f>
        <v>-5575049.4879001379</v>
      </c>
      <c r="P4" s="485">
        <v>741750000</v>
      </c>
      <c r="Q4" s="486">
        <f>J4-P4</f>
        <v>17899692.850000024</v>
      </c>
    </row>
    <row r="5" spans="2:17" x14ac:dyDescent="0.3">
      <c r="B5" s="407" t="s">
        <v>1601</v>
      </c>
      <c r="C5" s="336" t="s">
        <v>1603</v>
      </c>
      <c r="D5" s="408"/>
      <c r="E5" s="408"/>
      <c r="F5" s="460"/>
      <c r="G5" s="460"/>
      <c r="H5" s="408">
        <f t="shared" ref="H5:H39" si="0">D5+F5</f>
        <v>0</v>
      </c>
      <c r="I5" s="408">
        <f t="shared" ref="I5:I39" si="1">E5+G5</f>
        <v>0</v>
      </c>
      <c r="J5" s="65">
        <f t="shared" ref="J5:J33" si="2">H5-I5</f>
        <v>0</v>
      </c>
      <c r="M5" s="65">
        <f>VLOOKUP(B5,'TB IFRS'!A:J,10,0)*$K$1</f>
        <v>-4518178.0653000008</v>
      </c>
      <c r="N5" s="273">
        <f>J5-M5</f>
        <v>4518178.0653000008</v>
      </c>
      <c r="P5" s="485">
        <v>0</v>
      </c>
      <c r="Q5" s="486">
        <f t="shared" ref="Q5:Q39" si="3">J5-P5</f>
        <v>0</v>
      </c>
    </row>
    <row r="6" spans="2:17" x14ac:dyDescent="0.3">
      <c r="B6" s="336" t="s">
        <v>798</v>
      </c>
      <c r="C6" s="336" t="s">
        <v>799</v>
      </c>
      <c r="D6" s="408">
        <v>555</v>
      </c>
      <c r="E6" s="408">
        <v>0</v>
      </c>
      <c r="F6" s="460">
        <v>0</v>
      </c>
      <c r="G6" s="460">
        <v>0</v>
      </c>
      <c r="H6" s="408">
        <f t="shared" si="0"/>
        <v>555</v>
      </c>
      <c r="I6" s="408">
        <f t="shared" si="1"/>
        <v>0</v>
      </c>
      <c r="J6" s="65">
        <f t="shared" si="2"/>
        <v>555</v>
      </c>
      <c r="M6" s="65">
        <f>VLOOKUP(B6,'TB IFRS'!A:J,10,0)*$K$1</f>
        <v>558.67945433070872</v>
      </c>
      <c r="N6" s="272">
        <f t="shared" ref="N6:N32" si="4">J6-M6</f>
        <v>-3.6794543307087224</v>
      </c>
      <c r="P6" s="485">
        <v>555</v>
      </c>
      <c r="Q6" s="486">
        <f t="shared" si="3"/>
        <v>0</v>
      </c>
    </row>
    <row r="7" spans="2:17" x14ac:dyDescent="0.3">
      <c r="B7" s="336" t="s">
        <v>800</v>
      </c>
      <c r="C7" s="336" t="s">
        <v>801</v>
      </c>
      <c r="D7" s="408">
        <v>914412.32000000007</v>
      </c>
      <c r="E7" s="408">
        <v>0</v>
      </c>
      <c r="F7" s="460">
        <v>561452.02</v>
      </c>
      <c r="G7" s="460">
        <v>1065908.3500000001</v>
      </c>
      <c r="H7" s="408">
        <f t="shared" si="0"/>
        <v>1475864.34</v>
      </c>
      <c r="I7" s="408">
        <f t="shared" si="1"/>
        <v>1065908.3500000001</v>
      </c>
      <c r="J7" s="65">
        <f t="shared" si="2"/>
        <v>409955.99</v>
      </c>
      <c r="M7" s="65">
        <f>VLOOKUP(B7,'TB IFRS'!A:J,10,0)*$K$1</f>
        <v>396850.65000008908</v>
      </c>
      <c r="N7" s="272">
        <f t="shared" si="4"/>
        <v>13105.33999991091</v>
      </c>
      <c r="P7" s="485">
        <v>914412.32000000007</v>
      </c>
      <c r="Q7" s="486">
        <f t="shared" si="3"/>
        <v>-504456.33000000007</v>
      </c>
    </row>
    <row r="8" spans="2:17" x14ac:dyDescent="0.3">
      <c r="B8" s="336" t="s">
        <v>1041</v>
      </c>
      <c r="C8" s="336" t="s">
        <v>1265</v>
      </c>
      <c r="D8" s="408">
        <v>0</v>
      </c>
      <c r="E8" s="408">
        <v>0</v>
      </c>
      <c r="F8" s="460">
        <v>0</v>
      </c>
      <c r="G8" s="460">
        <v>0</v>
      </c>
      <c r="H8" s="408">
        <f t="shared" si="0"/>
        <v>0</v>
      </c>
      <c r="I8" s="408">
        <f t="shared" si="1"/>
        <v>0</v>
      </c>
      <c r="J8" s="65">
        <f t="shared" si="2"/>
        <v>0</v>
      </c>
      <c r="M8" s="65">
        <f>VLOOKUP(B8,'TB IFRS'!A:J,10,0)*$K$1</f>
        <v>0</v>
      </c>
      <c r="N8" s="272">
        <f t="shared" si="4"/>
        <v>0</v>
      </c>
      <c r="P8" s="485">
        <v>0</v>
      </c>
      <c r="Q8" s="486">
        <f t="shared" si="3"/>
        <v>0</v>
      </c>
    </row>
    <row r="9" spans="2:17" x14ac:dyDescent="0.3">
      <c r="B9" s="336" t="s">
        <v>802</v>
      </c>
      <c r="C9" s="336" t="s">
        <v>803</v>
      </c>
      <c r="D9" s="408">
        <v>0</v>
      </c>
      <c r="E9" s="408">
        <v>335045.41000000003</v>
      </c>
      <c r="F9" s="460">
        <v>911543.07</v>
      </c>
      <c r="G9" s="460">
        <v>602745.17999999993</v>
      </c>
      <c r="H9" s="408">
        <f t="shared" si="0"/>
        <v>911543.07</v>
      </c>
      <c r="I9" s="408">
        <f t="shared" si="1"/>
        <v>937790.59</v>
      </c>
      <c r="J9" s="65">
        <f t="shared" si="2"/>
        <v>-26247.520000000019</v>
      </c>
      <c r="K9" t="s">
        <v>1469</v>
      </c>
      <c r="M9" s="65">
        <f>VLOOKUP(B9,'TB IFRS'!A:J,10,0)*$K$1</f>
        <v>1288.7245089337316</v>
      </c>
      <c r="N9" s="272">
        <f t="shared" si="4"/>
        <v>-27536.244508933749</v>
      </c>
      <c r="P9" s="485">
        <v>-335045.41000000003</v>
      </c>
      <c r="Q9" s="486">
        <f t="shared" si="3"/>
        <v>308797.89</v>
      </c>
    </row>
    <row r="10" spans="2:17" x14ac:dyDescent="0.3">
      <c r="B10" s="336" t="s">
        <v>1009</v>
      </c>
      <c r="C10" s="336" t="s">
        <v>1013</v>
      </c>
      <c r="D10" s="408">
        <v>0</v>
      </c>
      <c r="E10" s="408">
        <v>-891341.9</v>
      </c>
      <c r="F10" s="460">
        <v>139017.82999999999</v>
      </c>
      <c r="G10" s="460">
        <v>0</v>
      </c>
      <c r="H10" s="408">
        <f t="shared" si="0"/>
        <v>139017.82999999999</v>
      </c>
      <c r="I10" s="408">
        <f t="shared" si="1"/>
        <v>-891341.9</v>
      </c>
      <c r="J10" s="484">
        <f t="shared" si="2"/>
        <v>1030359.73</v>
      </c>
      <c r="M10" s="65">
        <f>VLOOKUP(B10,'TB IFRS'!A:J,10,0)*$K$1</f>
        <v>906142.00871073222</v>
      </c>
      <c r="N10" s="272">
        <f t="shared" si="4"/>
        <v>124217.72128926776</v>
      </c>
      <c r="P10" s="485">
        <v>1181491.8999999999</v>
      </c>
      <c r="Q10" s="486">
        <f t="shared" si="3"/>
        <v>-151132.16999999993</v>
      </c>
    </row>
    <row r="11" spans="2:17" x14ac:dyDescent="0.3">
      <c r="B11" s="336" t="s">
        <v>1497</v>
      </c>
      <c r="C11" s="336" t="s">
        <v>1523</v>
      </c>
      <c r="D11" s="408">
        <v>0</v>
      </c>
      <c r="E11" s="408">
        <v>10964.97</v>
      </c>
      <c r="F11" s="460">
        <v>0</v>
      </c>
      <c r="G11" s="460">
        <v>0</v>
      </c>
      <c r="H11" s="408">
        <f t="shared" si="0"/>
        <v>0</v>
      </c>
      <c r="I11" s="408">
        <f t="shared" si="1"/>
        <v>10964.97</v>
      </c>
      <c r="J11" s="65">
        <f t="shared" si="2"/>
        <v>-10964.97</v>
      </c>
      <c r="M11" s="65">
        <f>VLOOKUP(B11,'TB IFRS'!A:J,10,0)*$K$1</f>
        <v>381.82447427963893</v>
      </c>
      <c r="N11" s="272">
        <f t="shared" si="4"/>
        <v>-11346.794474279639</v>
      </c>
      <c r="P11" s="485">
        <v>-10964.97</v>
      </c>
      <c r="Q11" s="486">
        <f t="shared" si="3"/>
        <v>0</v>
      </c>
    </row>
    <row r="12" spans="2:17" x14ac:dyDescent="0.3">
      <c r="B12" s="336" t="s">
        <v>804</v>
      </c>
      <c r="C12" s="336" t="s">
        <v>805</v>
      </c>
      <c r="D12" s="408">
        <v>0</v>
      </c>
      <c r="E12" s="408">
        <v>0</v>
      </c>
      <c r="F12" s="460">
        <v>0</v>
      </c>
      <c r="G12" s="460">
        <v>0</v>
      </c>
      <c r="H12" s="408">
        <f t="shared" si="0"/>
        <v>0</v>
      </c>
      <c r="I12" s="408">
        <f t="shared" si="1"/>
        <v>0</v>
      </c>
      <c r="J12" s="65">
        <f t="shared" si="2"/>
        <v>0</v>
      </c>
      <c r="N12" s="273">
        <f t="shared" si="4"/>
        <v>0</v>
      </c>
      <c r="P12" s="485">
        <v>0</v>
      </c>
      <c r="Q12" s="486">
        <f t="shared" si="3"/>
        <v>0</v>
      </c>
    </row>
    <row r="13" spans="2:17" x14ac:dyDescent="0.3">
      <c r="B13" s="336" t="s">
        <v>806</v>
      </c>
      <c r="C13" s="336" t="s">
        <v>807</v>
      </c>
      <c r="D13" s="408">
        <v>0</v>
      </c>
      <c r="E13" s="408">
        <v>0</v>
      </c>
      <c r="F13" s="460">
        <v>0</v>
      </c>
      <c r="G13" s="460">
        <v>0</v>
      </c>
      <c r="H13" s="408">
        <f t="shared" si="0"/>
        <v>0</v>
      </c>
      <c r="I13" s="408">
        <f t="shared" si="1"/>
        <v>0</v>
      </c>
      <c r="J13" s="65">
        <f t="shared" si="2"/>
        <v>0</v>
      </c>
      <c r="M13" s="65">
        <f>VLOOKUP(B13,'TB IFRS'!A:J,10,0)*$K$1</f>
        <v>0</v>
      </c>
      <c r="N13" s="273">
        <f t="shared" si="4"/>
        <v>0</v>
      </c>
      <c r="P13" s="485">
        <v>0</v>
      </c>
      <c r="Q13" s="486">
        <f t="shared" si="3"/>
        <v>0</v>
      </c>
    </row>
    <row r="14" spans="2:17" x14ac:dyDescent="0.3">
      <c r="B14" s="336" t="s">
        <v>808</v>
      </c>
      <c r="C14" s="336" t="s">
        <v>1454</v>
      </c>
      <c r="D14" s="408">
        <v>0</v>
      </c>
      <c r="E14" s="408">
        <v>-2056070.1800000002</v>
      </c>
      <c r="F14" s="460">
        <v>0</v>
      </c>
      <c r="G14" s="460">
        <v>561452.02</v>
      </c>
      <c r="H14" s="408">
        <f t="shared" si="0"/>
        <v>0</v>
      </c>
      <c r="I14" s="408">
        <f t="shared" si="1"/>
        <v>-1494618.1600000001</v>
      </c>
      <c r="J14" s="484">
        <f t="shared" si="2"/>
        <v>1494618.1600000001</v>
      </c>
      <c r="K14" s="65"/>
      <c r="M14" s="65">
        <f>VLOOKUP(B14,'TB IFRS'!A:J,10,0)*$K$1</f>
        <v>1513629.4282999893</v>
      </c>
      <c r="N14" s="272">
        <f t="shared" si="4"/>
        <v>-19011.268299989169</v>
      </c>
      <c r="P14" s="485">
        <v>1765806.34</v>
      </c>
      <c r="Q14" s="486">
        <f t="shared" si="3"/>
        <v>-271188.17999999993</v>
      </c>
    </row>
    <row r="15" spans="2:17" x14ac:dyDescent="0.3">
      <c r="B15" s="336" t="s">
        <v>1434</v>
      </c>
      <c r="C15" s="336" t="s">
        <v>809</v>
      </c>
      <c r="D15" s="408">
        <v>0</v>
      </c>
      <c r="E15" s="408">
        <v>-8.0000000000000016E-2</v>
      </c>
      <c r="F15" s="460">
        <v>10965.07</v>
      </c>
      <c r="G15" s="460">
        <v>0</v>
      </c>
      <c r="H15" s="408">
        <f t="shared" si="0"/>
        <v>10965.07</v>
      </c>
      <c r="I15" s="408">
        <f t="shared" si="1"/>
        <v>-8.0000000000000016E-2</v>
      </c>
      <c r="J15" s="65">
        <f t="shared" si="2"/>
        <v>10965.15</v>
      </c>
      <c r="K15" s="128" t="s">
        <v>1468</v>
      </c>
      <c r="M15" s="65">
        <f>VLOOKUP(B15,'TB IFRS'!A:J,10,0)*$K$1</f>
        <v>0.1249790349478235</v>
      </c>
      <c r="N15" s="272">
        <f t="shared" si="4"/>
        <v>10965.025020965051</v>
      </c>
      <c r="P15" s="485">
        <v>0</v>
      </c>
      <c r="Q15" s="486">
        <f t="shared" si="3"/>
        <v>10965.15</v>
      </c>
    </row>
    <row r="16" spans="2:17" x14ac:dyDescent="0.3">
      <c r="B16" s="336" t="s">
        <v>918</v>
      </c>
      <c r="C16" s="336" t="s">
        <v>914</v>
      </c>
      <c r="D16" s="408">
        <v>5307860.74</v>
      </c>
      <c r="E16" s="408">
        <v>0</v>
      </c>
      <c r="F16" s="460">
        <v>0</v>
      </c>
      <c r="G16" s="460">
        <v>919153.8</v>
      </c>
      <c r="H16" s="408">
        <f t="shared" si="0"/>
        <v>5307860.74</v>
      </c>
      <c r="I16" s="408">
        <f t="shared" si="1"/>
        <v>919153.8</v>
      </c>
      <c r="J16" s="65">
        <f t="shared" si="2"/>
        <v>4388706.9400000004</v>
      </c>
      <c r="K16" s="128" t="s">
        <v>1468</v>
      </c>
      <c r="N16" s="272">
        <f t="shared" si="4"/>
        <v>4388706.9400000004</v>
      </c>
      <c r="P16" s="485">
        <v>5307860.74</v>
      </c>
      <c r="Q16" s="486">
        <f t="shared" si="3"/>
        <v>-919153.79999999981</v>
      </c>
    </row>
    <row r="17" spans="2:17" x14ac:dyDescent="0.3">
      <c r="B17" s="336" t="s">
        <v>917</v>
      </c>
      <c r="C17" s="336" t="s">
        <v>929</v>
      </c>
      <c r="D17" s="408">
        <v>0</v>
      </c>
      <c r="E17" s="408">
        <v>1468149.72</v>
      </c>
      <c r="F17" s="460">
        <v>254237.16</v>
      </c>
      <c r="G17" s="460">
        <v>0</v>
      </c>
      <c r="H17" s="408">
        <f t="shared" si="0"/>
        <v>254237.16</v>
      </c>
      <c r="I17" s="408">
        <f t="shared" si="1"/>
        <v>1468149.72</v>
      </c>
      <c r="J17" s="65">
        <f t="shared" si="2"/>
        <v>-1213912.56</v>
      </c>
      <c r="N17" s="272">
        <f t="shared" si="4"/>
        <v>-1213912.56</v>
      </c>
      <c r="P17" s="485">
        <v>-1468149.72</v>
      </c>
      <c r="Q17" s="486">
        <f t="shared" si="3"/>
        <v>254237.15999999992</v>
      </c>
    </row>
    <row r="18" spans="2:17" x14ac:dyDescent="0.3">
      <c r="B18" s="336" t="s">
        <v>810</v>
      </c>
      <c r="C18" s="336" t="s">
        <v>811</v>
      </c>
      <c r="D18" s="408">
        <v>0</v>
      </c>
      <c r="E18" s="408">
        <v>554255.17999999993</v>
      </c>
      <c r="F18" s="460">
        <v>0</v>
      </c>
      <c r="G18" s="460">
        <v>-325248</v>
      </c>
      <c r="H18" s="408">
        <f t="shared" si="0"/>
        <v>0</v>
      </c>
      <c r="I18" s="408">
        <f t="shared" si="1"/>
        <v>229007.17999999993</v>
      </c>
      <c r="J18" s="65">
        <f t="shared" si="2"/>
        <v>-229007.17999999993</v>
      </c>
      <c r="M18" s="65">
        <f>VLOOKUP(B18,'TB IFRS'!A:J,10,0)*$K$1</f>
        <v>-112591.4071172127</v>
      </c>
      <c r="N18" s="273">
        <f t="shared" si="4"/>
        <v>-116415.77288278723</v>
      </c>
      <c r="P18" s="485">
        <v>-554255.17999999993</v>
      </c>
      <c r="Q18" s="486">
        <f t="shared" si="3"/>
        <v>325248</v>
      </c>
    </row>
    <row r="19" spans="2:17" x14ac:dyDescent="0.3">
      <c r="B19" s="336" t="s">
        <v>814</v>
      </c>
      <c r="C19" s="336" t="s">
        <v>815</v>
      </c>
      <c r="D19" s="408">
        <v>0</v>
      </c>
      <c r="E19" s="408">
        <v>555</v>
      </c>
      <c r="F19" s="460">
        <v>0</v>
      </c>
      <c r="G19" s="460">
        <v>0</v>
      </c>
      <c r="H19" s="408">
        <f t="shared" si="0"/>
        <v>0</v>
      </c>
      <c r="I19" s="408">
        <f t="shared" si="1"/>
        <v>555</v>
      </c>
      <c r="J19" s="65">
        <f t="shared" si="2"/>
        <v>-555</v>
      </c>
      <c r="M19" s="65">
        <f>VLOOKUP(B19,'TB IFRS'!A:J,10,0)*$K$1</f>
        <v>-558.67945433070872</v>
      </c>
      <c r="N19" s="273">
        <f t="shared" si="4"/>
        <v>3.6794543307087224</v>
      </c>
      <c r="P19" s="485">
        <v>-555</v>
      </c>
      <c r="Q19" s="486">
        <f t="shared" si="3"/>
        <v>0</v>
      </c>
    </row>
    <row r="20" spans="2:17" x14ac:dyDescent="0.3">
      <c r="B20" s="336" t="s">
        <v>1589</v>
      </c>
      <c r="C20" s="336" t="s">
        <v>1610</v>
      </c>
      <c r="D20" s="408">
        <v>0</v>
      </c>
      <c r="E20" s="408">
        <v>3673083.26</v>
      </c>
      <c r="F20" s="460">
        <v>0</v>
      </c>
      <c r="G20" s="460">
        <v>0</v>
      </c>
      <c r="H20" s="408">
        <f t="shared" si="0"/>
        <v>0</v>
      </c>
      <c r="I20" s="408">
        <f t="shared" si="1"/>
        <v>3673083.26</v>
      </c>
      <c r="J20" s="65">
        <f t="shared" si="2"/>
        <v>-3673083.26</v>
      </c>
      <c r="M20" s="65" t="e">
        <f>VLOOKUP(B20,'TB IFRS'!A:J,10,0)*$K$1</f>
        <v>#N/A</v>
      </c>
      <c r="N20" s="273" t="e">
        <f t="shared" si="4"/>
        <v>#N/A</v>
      </c>
      <c r="P20" s="485">
        <v>272650</v>
      </c>
      <c r="Q20" s="486">
        <f t="shared" si="3"/>
        <v>-3945733.26</v>
      </c>
    </row>
    <row r="21" spans="2:17" x14ac:dyDescent="0.3">
      <c r="B21" s="336" t="s">
        <v>1436</v>
      </c>
      <c r="C21" s="336" t="s">
        <v>1044</v>
      </c>
      <c r="D21" s="408">
        <v>0</v>
      </c>
      <c r="E21" s="408">
        <v>393638.41</v>
      </c>
      <c r="F21" s="460">
        <v>0</v>
      </c>
      <c r="G21" s="460">
        <v>0</v>
      </c>
      <c r="H21" s="408">
        <f t="shared" si="0"/>
        <v>0</v>
      </c>
      <c r="I21" s="408">
        <f t="shared" si="1"/>
        <v>393638.41</v>
      </c>
      <c r="J21" s="65">
        <f t="shared" si="2"/>
        <v>-393638.41</v>
      </c>
      <c r="M21" s="65">
        <f>VLOOKUP(B21,'TB IFRS'!A:J,10,0)*$K$1</f>
        <v>989473.78283614921</v>
      </c>
      <c r="N21" s="273">
        <f t="shared" si="4"/>
        <v>-1383112.1928361491</v>
      </c>
      <c r="P21" s="485">
        <v>-3945733.2600000002</v>
      </c>
      <c r="Q21" s="486">
        <f t="shared" si="3"/>
        <v>3552094.85</v>
      </c>
    </row>
    <row r="22" spans="2:17" x14ac:dyDescent="0.3">
      <c r="B22" s="336" t="s">
        <v>816</v>
      </c>
      <c r="C22" s="336" t="s">
        <v>817</v>
      </c>
      <c r="D22" s="408">
        <v>0</v>
      </c>
      <c r="E22" s="408">
        <v>741750000</v>
      </c>
      <c r="F22" s="460">
        <v>0</v>
      </c>
      <c r="G22" s="460">
        <v>0</v>
      </c>
      <c r="H22" s="408">
        <f t="shared" si="0"/>
        <v>0</v>
      </c>
      <c r="I22" s="408">
        <f t="shared" si="1"/>
        <v>741750000</v>
      </c>
      <c r="J22" s="65">
        <f t="shared" si="2"/>
        <v>-741750000</v>
      </c>
      <c r="M22" s="65">
        <f>VLOOKUP(B22,'TB IFRS'!A:J,10,0)*$K$1</f>
        <v>-750900000</v>
      </c>
      <c r="N22" s="273">
        <f t="shared" si="4"/>
        <v>9150000</v>
      </c>
      <c r="P22" s="485">
        <v>-741750000</v>
      </c>
      <c r="Q22" s="486">
        <f t="shared" si="3"/>
        <v>0</v>
      </c>
    </row>
    <row r="23" spans="2:17" x14ac:dyDescent="0.3">
      <c r="B23" s="336" t="s">
        <v>818</v>
      </c>
      <c r="C23" s="336" t="s">
        <v>819</v>
      </c>
      <c r="D23" s="408">
        <v>0</v>
      </c>
      <c r="E23" s="408">
        <v>3978975</v>
      </c>
      <c r="F23" s="460">
        <v>0</v>
      </c>
      <c r="G23" s="460">
        <v>16923375</v>
      </c>
      <c r="H23" s="408">
        <f t="shared" si="0"/>
        <v>0</v>
      </c>
      <c r="I23" s="408">
        <f t="shared" si="1"/>
        <v>20902350</v>
      </c>
      <c r="J23" s="65">
        <f t="shared" si="2"/>
        <v>-20902350</v>
      </c>
      <c r="M23" s="65">
        <f>VLOOKUP(B23,'TB IFRS'!A:J,10,0)*$K$1</f>
        <v>-24059567.376599997</v>
      </c>
      <c r="N23" s="272">
        <f t="shared" si="4"/>
        <v>3157217.3765999973</v>
      </c>
      <c r="P23" s="485">
        <v>-3978975</v>
      </c>
      <c r="Q23" s="486">
        <f t="shared" si="3"/>
        <v>-16923375</v>
      </c>
    </row>
    <row r="24" spans="2:17" x14ac:dyDescent="0.3">
      <c r="B24" s="336" t="s">
        <v>1001</v>
      </c>
      <c r="C24" s="336" t="s">
        <v>1003</v>
      </c>
      <c r="D24" s="408">
        <v>0</v>
      </c>
      <c r="E24" s="408">
        <v>-1244426.73</v>
      </c>
      <c r="F24" s="460">
        <v>0</v>
      </c>
      <c r="G24" s="460">
        <v>0</v>
      </c>
      <c r="H24" s="408">
        <f t="shared" si="0"/>
        <v>0</v>
      </c>
      <c r="I24" s="408">
        <f t="shared" si="1"/>
        <v>-1244426.73</v>
      </c>
      <c r="J24" s="65">
        <f t="shared" si="2"/>
        <v>1244426.73</v>
      </c>
      <c r="M24" s="65">
        <f>VLOOKUP(B24,'TB IFRS'!A:J,10,0)*$K$1</f>
        <v>690623.25459999999</v>
      </c>
      <c r="N24" s="273">
        <f t="shared" si="4"/>
        <v>553803.4754</v>
      </c>
      <c r="P24" s="485">
        <v>1244426.73</v>
      </c>
      <c r="Q24" s="486">
        <f t="shared" si="3"/>
        <v>0</v>
      </c>
    </row>
    <row r="25" spans="2:17" x14ac:dyDescent="0.3">
      <c r="B25" s="336" t="s">
        <v>1435</v>
      </c>
      <c r="C25" s="336" t="s">
        <v>1441</v>
      </c>
      <c r="D25" s="408">
        <v>0</v>
      </c>
      <c r="E25" s="408">
        <v>0</v>
      </c>
      <c r="F25" s="460">
        <v>0</v>
      </c>
      <c r="G25" s="460">
        <v>0</v>
      </c>
      <c r="H25" s="408">
        <f t="shared" si="0"/>
        <v>0</v>
      </c>
      <c r="I25" s="408">
        <f t="shared" si="1"/>
        <v>0</v>
      </c>
      <c r="J25" s="65">
        <f t="shared" si="2"/>
        <v>0</v>
      </c>
      <c r="M25" s="65">
        <f>VLOOKUP(B25,'TB IFRS'!A:J,10,0)*$K$1</f>
        <v>0</v>
      </c>
      <c r="N25" s="273">
        <f t="shared" si="4"/>
        <v>0</v>
      </c>
      <c r="P25" s="485">
        <v>73110</v>
      </c>
      <c r="Q25" s="486">
        <f t="shared" si="3"/>
        <v>-73110</v>
      </c>
    </row>
    <row r="26" spans="2:17" x14ac:dyDescent="0.3">
      <c r="B26" s="336" t="s">
        <v>824</v>
      </c>
      <c r="C26" s="336" t="s">
        <v>825</v>
      </c>
      <c r="D26" s="408">
        <v>0</v>
      </c>
      <c r="E26" s="408">
        <v>0</v>
      </c>
      <c r="F26" s="460">
        <v>23858.3</v>
      </c>
      <c r="G26" s="460">
        <v>0</v>
      </c>
      <c r="H26" s="408">
        <f t="shared" si="0"/>
        <v>23858.3</v>
      </c>
      <c r="I26" s="408">
        <f t="shared" si="1"/>
        <v>0</v>
      </c>
      <c r="J26" s="65">
        <f t="shared" si="2"/>
        <v>23858.3</v>
      </c>
      <c r="M26" s="65">
        <f>VLOOKUP(B26,'TB IFRS'!A:J,10,0)*$K$1</f>
        <v>10109.046849757673</v>
      </c>
      <c r="N26" s="273">
        <f t="shared" si="4"/>
        <v>13749.253150242326</v>
      </c>
      <c r="P26" s="485">
        <v>39924.71</v>
      </c>
      <c r="Q26" s="486">
        <f t="shared" si="3"/>
        <v>-16066.41</v>
      </c>
    </row>
    <row r="27" spans="2:17" x14ac:dyDescent="0.3">
      <c r="B27" s="336" t="s">
        <v>826</v>
      </c>
      <c r="C27" s="336" t="s">
        <v>827</v>
      </c>
      <c r="D27" s="408">
        <v>0</v>
      </c>
      <c r="E27" s="408">
        <v>0</v>
      </c>
      <c r="F27" s="460">
        <v>257235.65</v>
      </c>
      <c r="G27" s="460">
        <v>0</v>
      </c>
      <c r="H27" s="408">
        <f t="shared" si="0"/>
        <v>257235.65</v>
      </c>
      <c r="I27" s="408">
        <f t="shared" si="1"/>
        <v>0</v>
      </c>
      <c r="J27" s="65">
        <f t="shared" si="2"/>
        <v>257235.65</v>
      </c>
      <c r="M27" s="65">
        <f>VLOOKUP(B27,'TB IFRS'!A:J,10,0)*$K$1</f>
        <v>256972.14410409264</v>
      </c>
      <c r="N27" s="272">
        <f t="shared" si="4"/>
        <v>263.50589590735035</v>
      </c>
      <c r="P27" s="485">
        <v>574733.26</v>
      </c>
      <c r="Q27" s="486">
        <f t="shared" si="3"/>
        <v>-317497.61</v>
      </c>
    </row>
    <row r="28" spans="2:17" x14ac:dyDescent="0.3">
      <c r="B28" s="336" t="s">
        <v>1000</v>
      </c>
      <c r="C28" s="336" t="s">
        <v>998</v>
      </c>
      <c r="D28" s="408">
        <v>0</v>
      </c>
      <c r="E28" s="408">
        <v>0</v>
      </c>
      <c r="F28" s="460">
        <v>9528.76</v>
      </c>
      <c r="G28" s="460">
        <v>0</v>
      </c>
      <c r="H28" s="408">
        <f t="shared" si="0"/>
        <v>9528.76</v>
      </c>
      <c r="I28" s="408">
        <f t="shared" si="1"/>
        <v>0</v>
      </c>
      <c r="J28" s="65">
        <f t="shared" si="2"/>
        <v>9528.76</v>
      </c>
      <c r="M28" s="65">
        <f>VLOOKUP(B28,'TB IFRS'!A:J,10,0)*$K$1</f>
        <v>3092.8539887907577</v>
      </c>
      <c r="N28" s="273">
        <f t="shared" si="4"/>
        <v>6435.9060112092429</v>
      </c>
      <c r="P28" s="485">
        <v>660024.75</v>
      </c>
      <c r="Q28" s="486">
        <f t="shared" si="3"/>
        <v>-650495.99</v>
      </c>
    </row>
    <row r="29" spans="2:17" x14ac:dyDescent="0.3">
      <c r="B29" s="336" t="s">
        <v>924</v>
      </c>
      <c r="C29" s="336" t="s">
        <v>930</v>
      </c>
      <c r="D29" s="408">
        <v>0</v>
      </c>
      <c r="E29" s="408">
        <v>0</v>
      </c>
      <c r="F29" s="460">
        <v>905295.5</v>
      </c>
      <c r="G29" s="460">
        <v>0</v>
      </c>
      <c r="H29" s="408">
        <f t="shared" si="0"/>
        <v>905295.5</v>
      </c>
      <c r="I29" s="408">
        <f t="shared" si="1"/>
        <v>0</v>
      </c>
      <c r="J29" s="65">
        <f t="shared" si="2"/>
        <v>905295.5</v>
      </c>
      <c r="M29" s="65">
        <f>VLOOKUP(B29,'TB IFRS'!A:J,10,0)*$K$1</f>
        <v>0</v>
      </c>
      <c r="N29" s="273">
        <f t="shared" si="4"/>
        <v>905295.5</v>
      </c>
      <c r="P29" s="485">
        <v>1850565.1700000002</v>
      </c>
      <c r="Q29" s="486">
        <f t="shared" si="3"/>
        <v>-945269.67000000016</v>
      </c>
    </row>
    <row r="30" spans="2:17" x14ac:dyDescent="0.3">
      <c r="B30" s="336" t="s">
        <v>1042</v>
      </c>
      <c r="C30" s="336" t="s">
        <v>1043</v>
      </c>
      <c r="D30" s="408">
        <v>0</v>
      </c>
      <c r="E30" s="408">
        <v>0</v>
      </c>
      <c r="F30" s="460"/>
      <c r="G30" s="460"/>
      <c r="H30" s="408">
        <f t="shared" si="0"/>
        <v>0</v>
      </c>
      <c r="I30" s="408">
        <f t="shared" si="1"/>
        <v>0</v>
      </c>
      <c r="J30" s="65">
        <f t="shared" si="2"/>
        <v>0</v>
      </c>
      <c r="M30" s="65">
        <f>VLOOKUP(B30,'TB IFRS'!A:J,10,0)*$K$1</f>
        <v>0</v>
      </c>
      <c r="N30" s="273">
        <f t="shared" ref="N30:N31" si="5">J30-M30</f>
        <v>0</v>
      </c>
      <c r="P30" s="485">
        <v>0</v>
      </c>
      <c r="Q30" s="486">
        <f t="shared" si="3"/>
        <v>0</v>
      </c>
    </row>
    <row r="31" spans="2:17" x14ac:dyDescent="0.3">
      <c r="B31" s="121" t="s">
        <v>1498</v>
      </c>
      <c r="C31" s="121" t="s">
        <v>1575</v>
      </c>
      <c r="D31" s="408">
        <v>0</v>
      </c>
      <c r="E31" s="408">
        <v>0</v>
      </c>
      <c r="F31" s="460"/>
      <c r="G31" s="460"/>
      <c r="H31" s="408">
        <f t="shared" si="0"/>
        <v>0</v>
      </c>
      <c r="I31" s="408">
        <f t="shared" si="1"/>
        <v>0</v>
      </c>
      <c r="J31" s="65">
        <f t="shared" si="2"/>
        <v>0</v>
      </c>
      <c r="M31" s="65">
        <f>VLOOKUP(B31,'TB IFRS'!A:J,10,0)*$K$1</f>
        <v>0</v>
      </c>
      <c r="N31" s="273">
        <f t="shared" si="5"/>
        <v>0</v>
      </c>
      <c r="P31" s="485">
        <v>0</v>
      </c>
      <c r="Q31" s="486">
        <f t="shared" si="3"/>
        <v>0</v>
      </c>
    </row>
    <row r="32" spans="2:17" x14ac:dyDescent="0.3">
      <c r="B32" s="407" t="s">
        <v>1602</v>
      </c>
      <c r="C32" s="121" t="s">
        <v>1604</v>
      </c>
      <c r="D32" s="408">
        <v>0</v>
      </c>
      <c r="E32" s="408">
        <v>0</v>
      </c>
      <c r="F32" s="460"/>
      <c r="G32" s="460"/>
      <c r="H32" s="408">
        <f t="shared" si="0"/>
        <v>0</v>
      </c>
      <c r="I32" s="408">
        <f t="shared" si="1"/>
        <v>0</v>
      </c>
      <c r="J32" s="65">
        <f t="shared" si="2"/>
        <v>0</v>
      </c>
      <c r="M32" s="65">
        <f>VLOOKUP(B32,'TB IFRS'!A:J,10,0)*$K$1</f>
        <v>0</v>
      </c>
      <c r="N32" s="273">
        <f t="shared" si="4"/>
        <v>0</v>
      </c>
      <c r="P32" s="485">
        <v>0</v>
      </c>
      <c r="Q32" s="486">
        <f t="shared" si="3"/>
        <v>0</v>
      </c>
    </row>
    <row r="33" spans="2:17" x14ac:dyDescent="0.3">
      <c r="B33" s="336" t="s">
        <v>828</v>
      </c>
      <c r="C33" s="336" t="s">
        <v>829</v>
      </c>
      <c r="D33" s="408">
        <v>0</v>
      </c>
      <c r="E33" s="408">
        <v>0</v>
      </c>
      <c r="F33" s="460">
        <v>16923375</v>
      </c>
      <c r="G33" s="460">
        <v>0</v>
      </c>
      <c r="H33" s="408">
        <f t="shared" si="0"/>
        <v>16923375</v>
      </c>
      <c r="I33" s="408">
        <f t="shared" si="1"/>
        <v>0</v>
      </c>
      <c r="J33" s="65">
        <f t="shared" si="2"/>
        <v>16923375</v>
      </c>
      <c r="M33" s="65">
        <f>VLOOKUP(B33,'TB IFRS'!A:J,10,0)*$K$1</f>
        <v>17393644.606699999</v>
      </c>
      <c r="N33" s="273">
        <f t="shared" ref="N33:N40" si="6">J33-M33</f>
        <v>-470269.60669999942</v>
      </c>
      <c r="P33" s="485">
        <v>32361187.5</v>
      </c>
      <c r="Q33" s="486">
        <f t="shared" si="3"/>
        <v>-15437812.5</v>
      </c>
    </row>
    <row r="34" spans="2:17" x14ac:dyDescent="0.3">
      <c r="B34" s="336" t="s">
        <v>830</v>
      </c>
      <c r="C34" s="336" t="s">
        <v>831</v>
      </c>
      <c r="D34" s="408">
        <v>0</v>
      </c>
      <c r="E34" s="408">
        <v>0</v>
      </c>
      <c r="F34" s="460">
        <v>2027.24</v>
      </c>
      <c r="G34" s="460">
        <v>0</v>
      </c>
      <c r="H34" s="408">
        <f t="shared" si="0"/>
        <v>2027.24</v>
      </c>
      <c r="I34" s="408">
        <f t="shared" si="1"/>
        <v>0</v>
      </c>
      <c r="J34" s="65">
        <f t="shared" ref="J34:J39" si="7">H34-I34</f>
        <v>2027.24</v>
      </c>
      <c r="M34" s="65">
        <f>VLOOKUP(B34,'TB IFRS'!A:J,10,0)*$K$1</f>
        <v>1308.3181000000002</v>
      </c>
      <c r="N34" s="273">
        <f t="shared" si="6"/>
        <v>718.92189999999982</v>
      </c>
      <c r="P34" s="485">
        <v>19224128.110000003</v>
      </c>
      <c r="Q34" s="486">
        <f t="shared" si="3"/>
        <v>-19222100.870000005</v>
      </c>
    </row>
    <row r="35" spans="2:17" x14ac:dyDescent="0.3">
      <c r="B35" s="336" t="s">
        <v>832</v>
      </c>
      <c r="C35" s="336" t="s">
        <v>833</v>
      </c>
      <c r="D35" s="408">
        <v>0</v>
      </c>
      <c r="E35" s="408">
        <v>0</v>
      </c>
      <c r="F35" s="460">
        <v>5798.08</v>
      </c>
      <c r="G35" s="460">
        <v>0</v>
      </c>
      <c r="H35" s="408">
        <f t="shared" si="0"/>
        <v>5798.08</v>
      </c>
      <c r="I35" s="408">
        <f t="shared" si="1"/>
        <v>0</v>
      </c>
      <c r="J35" s="65">
        <f t="shared" si="7"/>
        <v>5798.08</v>
      </c>
      <c r="M35" s="65">
        <f>VLOOKUP(B35,'TB IFRS'!A:J,10,0)*$K$1</f>
        <v>5770.6665000000021</v>
      </c>
      <c r="N35" s="273">
        <f t="shared" si="6"/>
        <v>27.413499999997839</v>
      </c>
      <c r="P35" s="485">
        <v>13428.26</v>
      </c>
      <c r="Q35" s="486">
        <f t="shared" si="3"/>
        <v>-7630.18</v>
      </c>
    </row>
    <row r="36" spans="2:17" x14ac:dyDescent="0.3">
      <c r="B36" s="336" t="s">
        <v>834</v>
      </c>
      <c r="C36" s="336" t="s">
        <v>41</v>
      </c>
      <c r="D36" s="408">
        <v>0</v>
      </c>
      <c r="E36" s="408">
        <v>0</v>
      </c>
      <c r="F36" s="460">
        <v>0</v>
      </c>
      <c r="G36" s="460">
        <v>17899692.850000001</v>
      </c>
      <c r="H36" s="408">
        <f t="shared" si="0"/>
        <v>0</v>
      </c>
      <c r="I36" s="408">
        <f t="shared" si="1"/>
        <v>17899692.850000001</v>
      </c>
      <c r="J36" s="65">
        <f t="shared" si="7"/>
        <v>-17899692.850000001</v>
      </c>
      <c r="M36" s="65">
        <f>VLOOKUP(B36,'TB IFRS'!A:J,10,0)*$K$1</f>
        <v>-18418791.808900002</v>
      </c>
      <c r="N36" s="273">
        <f t="shared" si="6"/>
        <v>519098.9589000009</v>
      </c>
      <c r="P36" s="485">
        <v>-35410572.899999999</v>
      </c>
      <c r="Q36" s="486">
        <f t="shared" si="3"/>
        <v>17510880.049999997</v>
      </c>
    </row>
    <row r="37" spans="2:17" x14ac:dyDescent="0.3">
      <c r="B37" s="336" t="s">
        <v>835</v>
      </c>
      <c r="C37" s="336" t="s">
        <v>836</v>
      </c>
      <c r="D37" s="408">
        <v>0</v>
      </c>
      <c r="E37" s="408">
        <v>0</v>
      </c>
      <c r="F37" s="460">
        <v>0</v>
      </c>
      <c r="G37" s="460">
        <v>2710.17</v>
      </c>
      <c r="H37" s="408">
        <f t="shared" si="0"/>
        <v>0</v>
      </c>
      <c r="I37" s="408">
        <f t="shared" si="1"/>
        <v>2710.17</v>
      </c>
      <c r="J37" s="484">
        <f t="shared" si="7"/>
        <v>-2710.17</v>
      </c>
      <c r="M37" s="65">
        <f>VLOOKUP(B37,'TB IFRS'!A:J,10,0)*$K$1</f>
        <v>0</v>
      </c>
      <c r="N37" s="273">
        <f t="shared" si="6"/>
        <v>-2710.17</v>
      </c>
      <c r="P37" s="487">
        <v>-19270182.130000003</v>
      </c>
      <c r="Q37" s="488">
        <f t="shared" si="3"/>
        <v>19267471.960000001</v>
      </c>
    </row>
    <row r="38" spans="2:17" x14ac:dyDescent="0.3">
      <c r="B38" s="336" t="s">
        <v>919</v>
      </c>
      <c r="C38" s="336" t="s">
        <v>931</v>
      </c>
      <c r="D38" s="408">
        <v>0</v>
      </c>
      <c r="E38" s="408">
        <v>0</v>
      </c>
      <c r="F38" s="460">
        <v>0</v>
      </c>
      <c r="G38" s="460">
        <v>254237.16</v>
      </c>
      <c r="H38" s="408">
        <f t="shared" si="0"/>
        <v>0</v>
      </c>
      <c r="I38" s="408">
        <f t="shared" si="1"/>
        <v>254237.16</v>
      </c>
      <c r="J38" s="65">
        <f t="shared" si="7"/>
        <v>-254237.16</v>
      </c>
      <c r="N38" s="273">
        <f t="shared" si="6"/>
        <v>-254237.16</v>
      </c>
      <c r="P38" s="485">
        <v>-509871.22000000003</v>
      </c>
      <c r="Q38" s="486">
        <f t="shared" si="3"/>
        <v>255634.06000000003</v>
      </c>
    </row>
    <row r="39" spans="2:17" x14ac:dyDescent="0.3">
      <c r="B39" s="338" t="s">
        <v>1582</v>
      </c>
      <c r="C39" s="338" t="s">
        <v>1587</v>
      </c>
      <c r="D39" s="467">
        <v>0</v>
      </c>
      <c r="E39" s="467">
        <v>0</v>
      </c>
      <c r="F39" s="468">
        <v>0</v>
      </c>
      <c r="G39" s="468">
        <v>0</v>
      </c>
      <c r="H39" s="467">
        <f t="shared" si="0"/>
        <v>0</v>
      </c>
      <c r="I39" s="467">
        <f t="shared" si="1"/>
        <v>0</v>
      </c>
      <c r="J39" s="65">
        <f t="shared" si="7"/>
        <v>0</v>
      </c>
      <c r="N39" s="273">
        <f t="shared" si="6"/>
        <v>0</v>
      </c>
      <c r="P39" s="485">
        <v>0</v>
      </c>
      <c r="Q39" s="486">
        <f t="shared" si="3"/>
        <v>0</v>
      </c>
    </row>
    <row r="40" spans="2:17" x14ac:dyDescent="0.3">
      <c r="B40" s="471" t="s">
        <v>837</v>
      </c>
      <c r="C40" s="470" t="s">
        <v>43</v>
      </c>
      <c r="D40" s="469">
        <f>SUM(D4:D39)</f>
        <v>747972828.06000006</v>
      </c>
      <c r="E40" s="469">
        <f>SUM(E4:E39)</f>
        <v>747972828.05999994</v>
      </c>
      <c r="F40" s="469">
        <f>SUM(F4:F39)</f>
        <v>37904026.530000001</v>
      </c>
      <c r="G40" s="469">
        <f>SUM(G4:G39)</f>
        <v>37904026.530000001</v>
      </c>
      <c r="H40" s="469">
        <f t="shared" ref="H40:I40" si="8">SUM(H4:H39)</f>
        <v>785876854.59000015</v>
      </c>
      <c r="I40" s="469">
        <f t="shared" si="8"/>
        <v>785876854.58999991</v>
      </c>
      <c r="M40" s="65">
        <f>VLOOKUP(B40,'TB IFRS'!A:J,10,0)*$K$1</f>
        <v>1.6132721271133053E-2</v>
      </c>
      <c r="N40" s="273">
        <f t="shared" si="6"/>
        <v>-1.6132721271133053E-2</v>
      </c>
    </row>
    <row r="41" spans="2:17" x14ac:dyDescent="0.3">
      <c r="B41" s="337"/>
      <c r="C41" s="337"/>
      <c r="D41" s="337"/>
      <c r="E41" s="337"/>
      <c r="F41" s="337"/>
      <c r="G41" s="337"/>
      <c r="H41" s="337"/>
      <c r="I41" s="337"/>
      <c r="N41" s="273">
        <f t="shared" ref="N41" si="9">J41-M41</f>
        <v>0</v>
      </c>
    </row>
    <row r="42" spans="2:17" x14ac:dyDescent="0.3">
      <c r="B42" s="337"/>
      <c r="C42" s="337"/>
      <c r="D42" s="411"/>
      <c r="E42" s="411"/>
      <c r="F42" s="411"/>
      <c r="G42" s="411"/>
      <c r="H42" s="411"/>
      <c r="I42" s="472" t="s">
        <v>1590</v>
      </c>
      <c r="J42" s="473">
        <f>SUM(J25:J39)</f>
        <v>-29521.65000000404</v>
      </c>
      <c r="M42" s="65">
        <f>'TB IFRS'!J42*K1</f>
        <v>-747894.172657363</v>
      </c>
      <c r="N42" s="272">
        <f>SUM(N25:N38)</f>
        <v>718372.52265736042</v>
      </c>
    </row>
    <row r="43" spans="2:17" x14ac:dyDescent="0.3">
      <c r="M43" s="65">
        <f>SUM(M42:N42)</f>
        <v>-29521.650000002584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71-A67D-4125-983E-894EFA575BBC}">
  <sheetPr codeName="List6">
    <tabColor rgb="FF92D050"/>
  </sheetPr>
  <dimension ref="B1:Z223"/>
  <sheetViews>
    <sheetView workbookViewId="0">
      <selection activeCell="A224" sqref="A224:XFD633"/>
    </sheetView>
  </sheetViews>
  <sheetFormatPr defaultRowHeight="14.4" x14ac:dyDescent="0.3"/>
  <cols>
    <col min="4" max="4" width="16.33203125" bestFit="1" customWidth="1"/>
    <col min="5" max="5" width="13.77734375" bestFit="1" customWidth="1"/>
    <col min="11" max="11" width="16.5546875" customWidth="1"/>
  </cols>
  <sheetData>
    <row r="1" spans="2:26" ht="21" x14ac:dyDescent="0.3">
      <c r="B1" s="410" t="s">
        <v>838</v>
      </c>
      <c r="C1" s="403"/>
      <c r="D1" s="403"/>
      <c r="E1" s="403"/>
      <c r="F1" s="403"/>
      <c r="G1" s="403"/>
      <c r="H1" s="403"/>
      <c r="I1" s="403"/>
      <c r="J1" s="457" t="s">
        <v>916</v>
      </c>
      <c r="K1" s="403"/>
      <c r="L1" s="403"/>
      <c r="M1" s="403"/>
      <c r="N1" s="403"/>
      <c r="O1" s="403"/>
      <c r="P1" s="403"/>
      <c r="Q1" s="403"/>
      <c r="R1" s="403"/>
      <c r="S1" s="336" t="s">
        <v>1612</v>
      </c>
      <c r="T1" s="336" t="s">
        <v>787</v>
      </c>
      <c r="U1" s="403"/>
      <c r="V1" s="336" t="s">
        <v>1613</v>
      </c>
      <c r="W1" s="403"/>
      <c r="X1" s="403"/>
      <c r="Y1" s="403"/>
      <c r="Z1" s="403"/>
    </row>
    <row r="2" spans="2:26" x14ac:dyDescent="0.3">
      <c r="B2" s="421" t="s">
        <v>522</v>
      </c>
      <c r="C2" s="404" t="s">
        <v>839</v>
      </c>
      <c r="D2" s="421" t="s">
        <v>528</v>
      </c>
      <c r="E2" s="421" t="s">
        <v>840</v>
      </c>
      <c r="F2" s="404" t="s">
        <v>14</v>
      </c>
      <c r="G2" s="404" t="s">
        <v>841</v>
      </c>
      <c r="H2" s="419" t="s">
        <v>58</v>
      </c>
      <c r="I2" s="420" t="s">
        <v>524</v>
      </c>
      <c r="J2" s="420" t="s">
        <v>523</v>
      </c>
      <c r="K2" s="420" t="s">
        <v>526</v>
      </c>
      <c r="L2" s="420" t="s">
        <v>525</v>
      </c>
      <c r="M2" s="420" t="s">
        <v>842</v>
      </c>
      <c r="N2" s="420" t="s">
        <v>843</v>
      </c>
      <c r="O2" s="420" t="s">
        <v>844</v>
      </c>
      <c r="P2" s="420" t="s">
        <v>845</v>
      </c>
      <c r="Q2" s="405" t="s">
        <v>14</v>
      </c>
      <c r="R2" s="420" t="s">
        <v>42</v>
      </c>
      <c r="S2" s="420" t="s">
        <v>527</v>
      </c>
      <c r="T2" s="420" t="s">
        <v>846</v>
      </c>
      <c r="U2" s="420" t="s">
        <v>847</v>
      </c>
      <c r="V2" s="420" t="s">
        <v>848</v>
      </c>
      <c r="W2" s="420" t="s">
        <v>849</v>
      </c>
      <c r="X2" s="420" t="s">
        <v>850</v>
      </c>
      <c r="Y2" s="420" t="s">
        <v>851</v>
      </c>
      <c r="Z2" s="420" t="s">
        <v>852</v>
      </c>
    </row>
    <row r="3" spans="2:26" x14ac:dyDescent="0.3">
      <c r="B3" s="428" t="s">
        <v>1785</v>
      </c>
      <c r="C3" s="404"/>
      <c r="D3" s="406"/>
      <c r="E3" s="406"/>
      <c r="F3" s="404"/>
      <c r="G3" s="404"/>
      <c r="H3" s="336"/>
      <c r="I3" s="405"/>
      <c r="J3" s="336"/>
      <c r="K3" s="336"/>
      <c r="L3" s="336"/>
      <c r="M3" s="336"/>
      <c r="N3" s="336"/>
      <c r="O3" s="408"/>
      <c r="P3" s="408"/>
      <c r="Q3" s="405"/>
      <c r="R3" s="405"/>
      <c r="S3" s="403"/>
      <c r="T3" s="403"/>
      <c r="U3" s="403"/>
      <c r="V3" s="403"/>
      <c r="W3" s="403"/>
      <c r="X3" s="403"/>
      <c r="Y3" s="403"/>
      <c r="Z3" s="408"/>
    </row>
    <row r="4" spans="2:26" x14ac:dyDescent="0.3">
      <c r="B4" s="407" t="s">
        <v>800</v>
      </c>
      <c r="C4" s="404" t="s">
        <v>853</v>
      </c>
      <c r="D4" s="406">
        <v>-10965.07</v>
      </c>
      <c r="E4" s="406">
        <v>-458.72999999999996</v>
      </c>
      <c r="F4" s="404" t="s">
        <v>15</v>
      </c>
      <c r="G4" s="404" t="s">
        <v>1045</v>
      </c>
      <c r="H4" s="336" t="s">
        <v>1614</v>
      </c>
      <c r="I4" s="405" t="s">
        <v>866</v>
      </c>
      <c r="J4" s="336" t="s">
        <v>867</v>
      </c>
      <c r="K4" s="336" t="s">
        <v>1615</v>
      </c>
      <c r="L4" s="403"/>
      <c r="M4" s="336" t="s">
        <v>1434</v>
      </c>
      <c r="N4" s="336" t="s">
        <v>800</v>
      </c>
      <c r="O4" s="408">
        <v>10965.07</v>
      </c>
      <c r="P4" s="408">
        <v>458.72999999999996</v>
      </c>
      <c r="Q4" s="405" t="s">
        <v>15</v>
      </c>
      <c r="R4" s="405" t="s">
        <v>1616</v>
      </c>
      <c r="S4" s="336" t="s">
        <v>1571</v>
      </c>
      <c r="T4" s="403"/>
      <c r="U4" s="403"/>
      <c r="V4" s="403"/>
      <c r="W4" s="403"/>
      <c r="X4" s="403"/>
      <c r="Y4" s="403"/>
      <c r="Z4" s="408">
        <v>10965.07</v>
      </c>
    </row>
    <row r="5" spans="2:26" x14ac:dyDescent="0.3">
      <c r="B5" s="407" t="s">
        <v>1434</v>
      </c>
      <c r="C5" s="404" t="s">
        <v>855</v>
      </c>
      <c r="D5" s="406">
        <v>10965.07</v>
      </c>
      <c r="E5" s="406">
        <v>458.72999999999996</v>
      </c>
      <c r="F5" s="404" t="s">
        <v>15</v>
      </c>
      <c r="G5" s="404" t="s">
        <v>1045</v>
      </c>
      <c r="H5" s="336" t="s">
        <v>1614</v>
      </c>
      <c r="I5" s="405" t="s">
        <v>866</v>
      </c>
      <c r="J5" s="336" t="s">
        <v>867</v>
      </c>
      <c r="K5" s="336" t="s">
        <v>1615</v>
      </c>
      <c r="L5" s="403"/>
      <c r="M5" s="336" t="s">
        <v>1434</v>
      </c>
      <c r="N5" s="336" t="s">
        <v>800</v>
      </c>
      <c r="O5" s="408">
        <v>10965.07</v>
      </c>
      <c r="P5" s="408">
        <v>458.72999999999996</v>
      </c>
      <c r="Q5" s="405" t="s">
        <v>15</v>
      </c>
      <c r="R5" s="405" t="s">
        <v>1616</v>
      </c>
      <c r="S5" s="336" t="s">
        <v>1571</v>
      </c>
      <c r="T5" s="403"/>
      <c r="U5" s="403"/>
      <c r="V5" s="403"/>
      <c r="W5" s="403"/>
      <c r="X5" s="403"/>
      <c r="Y5" s="408">
        <v>10965.07</v>
      </c>
      <c r="Z5" s="403"/>
    </row>
    <row r="6" spans="2:26" x14ac:dyDescent="0.3">
      <c r="B6" s="407" t="s">
        <v>802</v>
      </c>
      <c r="C6" s="404" t="s">
        <v>853</v>
      </c>
      <c r="D6" s="406">
        <v>-23900.74</v>
      </c>
      <c r="E6" s="406">
        <v>-981.55</v>
      </c>
      <c r="F6" s="404" t="s">
        <v>15</v>
      </c>
      <c r="G6" s="404" t="s">
        <v>1045</v>
      </c>
      <c r="H6" s="336" t="s">
        <v>1617</v>
      </c>
      <c r="I6" s="405" t="s">
        <v>856</v>
      </c>
      <c r="J6" s="336" t="s">
        <v>1618</v>
      </c>
      <c r="K6" s="336" t="s">
        <v>1080</v>
      </c>
      <c r="L6" s="336" t="s">
        <v>1483</v>
      </c>
      <c r="M6" s="336" t="s">
        <v>826</v>
      </c>
      <c r="N6" s="336" t="s">
        <v>802</v>
      </c>
      <c r="O6" s="408">
        <v>23900.74</v>
      </c>
      <c r="P6" s="408">
        <v>981.55</v>
      </c>
      <c r="Q6" s="405" t="s">
        <v>15</v>
      </c>
      <c r="R6" s="405" t="s">
        <v>1058</v>
      </c>
      <c r="S6" s="336" t="s">
        <v>1619</v>
      </c>
      <c r="T6" s="403"/>
      <c r="U6" s="403"/>
      <c r="V6" s="403"/>
      <c r="W6" s="403"/>
      <c r="X6" s="403"/>
      <c r="Y6" s="403"/>
      <c r="Z6" s="408">
        <v>23900.74</v>
      </c>
    </row>
    <row r="7" spans="2:26" x14ac:dyDescent="0.3">
      <c r="B7" s="407" t="s">
        <v>826</v>
      </c>
      <c r="C7" s="404" t="s">
        <v>855</v>
      </c>
      <c r="D7" s="406">
        <v>23900.74</v>
      </c>
      <c r="E7" s="406">
        <v>981.55</v>
      </c>
      <c r="F7" s="404" t="s">
        <v>15</v>
      </c>
      <c r="G7" s="404" t="s">
        <v>1045</v>
      </c>
      <c r="H7" s="336" t="s">
        <v>1617</v>
      </c>
      <c r="I7" s="405" t="s">
        <v>856</v>
      </c>
      <c r="J7" s="336" t="s">
        <v>1618</v>
      </c>
      <c r="K7" s="336" t="s">
        <v>1080</v>
      </c>
      <c r="L7" s="336" t="s">
        <v>1483</v>
      </c>
      <c r="M7" s="336" t="s">
        <v>826</v>
      </c>
      <c r="N7" s="336" t="s">
        <v>802</v>
      </c>
      <c r="O7" s="408">
        <v>23900.74</v>
      </c>
      <c r="P7" s="408">
        <v>981.55</v>
      </c>
      <c r="Q7" s="405" t="s">
        <v>15</v>
      </c>
      <c r="R7" s="405" t="s">
        <v>1058</v>
      </c>
      <c r="S7" s="336" t="s">
        <v>1619</v>
      </c>
      <c r="T7" s="403"/>
      <c r="U7" s="403"/>
      <c r="V7" s="403"/>
      <c r="W7" s="403"/>
      <c r="X7" s="403"/>
      <c r="Y7" s="408">
        <v>23900.74</v>
      </c>
      <c r="Z7" s="403"/>
    </row>
    <row r="8" spans="2:26" x14ac:dyDescent="0.3">
      <c r="B8" s="407" t="s">
        <v>802</v>
      </c>
      <c r="C8" s="404" t="s">
        <v>853</v>
      </c>
      <c r="D8" s="406">
        <v>-6921.2</v>
      </c>
      <c r="E8" s="406">
        <v>0</v>
      </c>
      <c r="F8" s="403"/>
      <c r="G8" s="404" t="s">
        <v>1045</v>
      </c>
      <c r="H8" s="336" t="s">
        <v>1620</v>
      </c>
      <c r="I8" s="405" t="s">
        <v>856</v>
      </c>
      <c r="J8" s="336" t="s">
        <v>1621</v>
      </c>
      <c r="K8" s="336" t="s">
        <v>1757</v>
      </c>
      <c r="L8" s="336" t="s">
        <v>1483</v>
      </c>
      <c r="M8" s="336" t="s">
        <v>826</v>
      </c>
      <c r="N8" s="336" t="s">
        <v>802</v>
      </c>
      <c r="O8" s="408">
        <v>6921.2</v>
      </c>
      <c r="P8" s="408">
        <v>0</v>
      </c>
      <c r="Q8" s="403"/>
      <c r="R8" s="403"/>
      <c r="S8" s="336" t="s">
        <v>1623</v>
      </c>
      <c r="T8" s="403"/>
      <c r="U8" s="403"/>
      <c r="V8" s="403"/>
      <c r="W8" s="403"/>
      <c r="X8" s="403"/>
      <c r="Y8" s="403"/>
      <c r="Z8" s="408">
        <v>6921.2</v>
      </c>
    </row>
    <row r="9" spans="2:26" x14ac:dyDescent="0.3">
      <c r="B9" s="407" t="s">
        <v>826</v>
      </c>
      <c r="C9" s="404" t="s">
        <v>855</v>
      </c>
      <c r="D9" s="406">
        <v>6921.2</v>
      </c>
      <c r="E9" s="406">
        <v>0</v>
      </c>
      <c r="F9" s="403"/>
      <c r="G9" s="404" t="s">
        <v>1045</v>
      </c>
      <c r="H9" s="336" t="s">
        <v>1620</v>
      </c>
      <c r="I9" s="405" t="s">
        <v>856</v>
      </c>
      <c r="J9" s="336" t="s">
        <v>1621</v>
      </c>
      <c r="K9" s="336" t="s">
        <v>1757</v>
      </c>
      <c r="L9" s="336" t="s">
        <v>1483</v>
      </c>
      <c r="M9" s="336" t="s">
        <v>826</v>
      </c>
      <c r="N9" s="336" t="s">
        <v>802</v>
      </c>
      <c r="O9" s="408">
        <v>6921.2</v>
      </c>
      <c r="P9" s="408">
        <v>0</v>
      </c>
      <c r="Q9" s="403"/>
      <c r="R9" s="403"/>
      <c r="S9" s="336" t="s">
        <v>1623</v>
      </c>
      <c r="T9" s="403"/>
      <c r="U9" s="403"/>
      <c r="V9" s="403"/>
      <c r="W9" s="403"/>
      <c r="X9" s="403"/>
      <c r="Y9" s="408">
        <v>6921.2</v>
      </c>
      <c r="Z9" s="403"/>
    </row>
    <row r="10" spans="2:26" x14ac:dyDescent="0.3">
      <c r="B10" s="407" t="s">
        <v>800</v>
      </c>
      <c r="C10" s="404" t="s">
        <v>853</v>
      </c>
      <c r="D10" s="406">
        <v>-6921.2</v>
      </c>
      <c r="E10" s="406">
        <v>-287.69</v>
      </c>
      <c r="F10" s="404" t="s">
        <v>15</v>
      </c>
      <c r="G10" s="404" t="s">
        <v>1045</v>
      </c>
      <c r="H10" s="336" t="s">
        <v>1624</v>
      </c>
      <c r="I10" s="405" t="s">
        <v>866</v>
      </c>
      <c r="J10" s="336" t="s">
        <v>868</v>
      </c>
      <c r="K10" s="336" t="s">
        <v>1758</v>
      </c>
      <c r="L10" s="336" t="s">
        <v>1483</v>
      </c>
      <c r="M10" s="336" t="s">
        <v>802</v>
      </c>
      <c r="N10" s="336" t="s">
        <v>800</v>
      </c>
      <c r="O10" s="408">
        <v>6921.2</v>
      </c>
      <c r="P10" s="408">
        <v>287.69</v>
      </c>
      <c r="Q10" s="405" t="s">
        <v>15</v>
      </c>
      <c r="R10" s="405" t="s">
        <v>1626</v>
      </c>
      <c r="S10" s="336" t="s">
        <v>1623</v>
      </c>
      <c r="T10" s="403"/>
      <c r="U10" s="403"/>
      <c r="V10" s="403"/>
      <c r="W10" s="403"/>
      <c r="X10" s="403"/>
      <c r="Y10" s="403"/>
      <c r="Z10" s="408">
        <v>6921.2</v>
      </c>
    </row>
    <row r="11" spans="2:26" x14ac:dyDescent="0.3">
      <c r="B11" s="407" t="s">
        <v>802</v>
      </c>
      <c r="C11" s="404" t="s">
        <v>855</v>
      </c>
      <c r="D11" s="406">
        <v>6921.2</v>
      </c>
      <c r="E11" s="406">
        <v>287.69</v>
      </c>
      <c r="F11" s="404" t="s">
        <v>15</v>
      </c>
      <c r="G11" s="404" t="s">
        <v>1045</v>
      </c>
      <c r="H11" s="336" t="s">
        <v>1624</v>
      </c>
      <c r="I11" s="405" t="s">
        <v>866</v>
      </c>
      <c r="J11" s="336" t="s">
        <v>868</v>
      </c>
      <c r="K11" s="336" t="s">
        <v>1758</v>
      </c>
      <c r="L11" s="336" t="s">
        <v>1483</v>
      </c>
      <c r="M11" s="336" t="s">
        <v>802</v>
      </c>
      <c r="N11" s="336" t="s">
        <v>800</v>
      </c>
      <c r="O11" s="408">
        <v>6921.2</v>
      </c>
      <c r="P11" s="408">
        <v>287.69</v>
      </c>
      <c r="Q11" s="405" t="s">
        <v>15</v>
      </c>
      <c r="R11" s="405" t="s">
        <v>1626</v>
      </c>
      <c r="S11" s="336" t="s">
        <v>1623</v>
      </c>
      <c r="T11" s="403"/>
      <c r="U11" s="403"/>
      <c r="V11" s="403"/>
      <c r="W11" s="403"/>
      <c r="X11" s="403"/>
      <c r="Y11" s="408">
        <v>6921.2</v>
      </c>
      <c r="Z11" s="403"/>
    </row>
    <row r="12" spans="2:26" x14ac:dyDescent="0.3">
      <c r="B12" s="407" t="s">
        <v>800</v>
      </c>
      <c r="C12" s="404" t="s">
        <v>853</v>
      </c>
      <c r="D12" s="406">
        <v>-5.95</v>
      </c>
      <c r="E12" s="406">
        <v>-0.24000000000000002</v>
      </c>
      <c r="F12" s="404" t="s">
        <v>15</v>
      </c>
      <c r="G12" s="404" t="s">
        <v>1045</v>
      </c>
      <c r="H12" s="336" t="s">
        <v>1627</v>
      </c>
      <c r="I12" s="405" t="s">
        <v>866</v>
      </c>
      <c r="J12" s="336" t="s">
        <v>870</v>
      </c>
      <c r="K12" s="336" t="s">
        <v>869</v>
      </c>
      <c r="L12" s="403"/>
      <c r="M12" s="336" t="s">
        <v>832</v>
      </c>
      <c r="N12" s="336" t="s">
        <v>800</v>
      </c>
      <c r="O12" s="408">
        <v>5.95</v>
      </c>
      <c r="P12" s="408">
        <v>0.24000000000000002</v>
      </c>
      <c r="Q12" s="405" t="s">
        <v>15</v>
      </c>
      <c r="R12" s="405" t="s">
        <v>1628</v>
      </c>
      <c r="S12" s="403"/>
      <c r="T12" s="403"/>
      <c r="U12" s="403"/>
      <c r="V12" s="403"/>
      <c r="W12" s="403"/>
      <c r="X12" s="403"/>
      <c r="Y12" s="403"/>
      <c r="Z12" s="408">
        <v>5.95</v>
      </c>
    </row>
    <row r="13" spans="2:26" x14ac:dyDescent="0.3">
      <c r="B13" s="407" t="s">
        <v>832</v>
      </c>
      <c r="C13" s="404" t="s">
        <v>855</v>
      </c>
      <c r="D13" s="406">
        <v>5.95</v>
      </c>
      <c r="E13" s="406">
        <v>0.24000000000000002</v>
      </c>
      <c r="F13" s="404" t="s">
        <v>15</v>
      </c>
      <c r="G13" s="404" t="s">
        <v>1045</v>
      </c>
      <c r="H13" s="336" t="s">
        <v>1627</v>
      </c>
      <c r="I13" s="405" t="s">
        <v>866</v>
      </c>
      <c r="J13" s="336" t="s">
        <v>870</v>
      </c>
      <c r="K13" s="336" t="s">
        <v>869</v>
      </c>
      <c r="L13" s="403"/>
      <c r="M13" s="336" t="s">
        <v>832</v>
      </c>
      <c r="N13" s="336" t="s">
        <v>800</v>
      </c>
      <c r="O13" s="408">
        <v>5.95</v>
      </c>
      <c r="P13" s="408">
        <v>0.24000000000000002</v>
      </c>
      <c r="Q13" s="405" t="s">
        <v>15</v>
      </c>
      <c r="R13" s="405" t="s">
        <v>1628</v>
      </c>
      <c r="S13" s="403"/>
      <c r="T13" s="403"/>
      <c r="U13" s="403"/>
      <c r="V13" s="403"/>
      <c r="W13" s="403"/>
      <c r="X13" s="403"/>
      <c r="Y13" s="408">
        <v>5.95</v>
      </c>
      <c r="Z13" s="403"/>
    </row>
    <row r="14" spans="2:26" x14ac:dyDescent="0.3">
      <c r="B14" s="407" t="s">
        <v>800</v>
      </c>
      <c r="C14" s="404" t="s">
        <v>853</v>
      </c>
      <c r="D14" s="406">
        <v>-24327.72</v>
      </c>
      <c r="E14" s="406">
        <v>-981.55</v>
      </c>
      <c r="F14" s="404" t="s">
        <v>15</v>
      </c>
      <c r="G14" s="404" t="s">
        <v>1045</v>
      </c>
      <c r="H14" s="336" t="s">
        <v>1627</v>
      </c>
      <c r="I14" s="405" t="s">
        <v>866</v>
      </c>
      <c r="J14" s="336" t="s">
        <v>871</v>
      </c>
      <c r="K14" s="336" t="s">
        <v>1759</v>
      </c>
      <c r="L14" s="336" t="s">
        <v>1483</v>
      </c>
      <c r="M14" s="336" t="s">
        <v>802</v>
      </c>
      <c r="N14" s="336" t="s">
        <v>800</v>
      </c>
      <c r="O14" s="408">
        <v>24327.72</v>
      </c>
      <c r="P14" s="408">
        <v>981.55</v>
      </c>
      <c r="Q14" s="405" t="s">
        <v>15</v>
      </c>
      <c r="R14" s="405" t="s">
        <v>1628</v>
      </c>
      <c r="S14" s="336" t="s">
        <v>1619</v>
      </c>
      <c r="T14" s="403"/>
      <c r="U14" s="403"/>
      <c r="V14" s="403"/>
      <c r="W14" s="403"/>
      <c r="X14" s="403"/>
      <c r="Y14" s="403"/>
      <c r="Z14" s="408">
        <v>24327.72</v>
      </c>
    </row>
    <row r="15" spans="2:26" x14ac:dyDescent="0.3">
      <c r="B15" s="407" t="s">
        <v>802</v>
      </c>
      <c r="C15" s="404" t="s">
        <v>855</v>
      </c>
      <c r="D15" s="406">
        <v>24327.72</v>
      </c>
      <c r="E15" s="406">
        <v>981.55</v>
      </c>
      <c r="F15" s="404" t="s">
        <v>15</v>
      </c>
      <c r="G15" s="404" t="s">
        <v>1045</v>
      </c>
      <c r="H15" s="336" t="s">
        <v>1627</v>
      </c>
      <c r="I15" s="405" t="s">
        <v>866</v>
      </c>
      <c r="J15" s="336" t="s">
        <v>871</v>
      </c>
      <c r="K15" s="336" t="s">
        <v>1759</v>
      </c>
      <c r="L15" s="336" t="s">
        <v>1483</v>
      </c>
      <c r="M15" s="336" t="s">
        <v>802</v>
      </c>
      <c r="N15" s="336" t="s">
        <v>800</v>
      </c>
      <c r="O15" s="408">
        <v>24327.72</v>
      </c>
      <c r="P15" s="408">
        <v>981.55</v>
      </c>
      <c r="Q15" s="405" t="s">
        <v>15</v>
      </c>
      <c r="R15" s="405" t="s">
        <v>1628</v>
      </c>
      <c r="S15" s="336" t="s">
        <v>1619</v>
      </c>
      <c r="T15" s="403"/>
      <c r="U15" s="403"/>
      <c r="V15" s="403"/>
      <c r="W15" s="403"/>
      <c r="X15" s="403"/>
      <c r="Y15" s="408">
        <v>24327.72</v>
      </c>
      <c r="Z15" s="403"/>
    </row>
    <row r="16" spans="2:26" x14ac:dyDescent="0.3">
      <c r="B16" s="407" t="s">
        <v>802</v>
      </c>
      <c r="C16" s="404" t="s">
        <v>853</v>
      </c>
      <c r="D16" s="406">
        <v>-426.97999999999996</v>
      </c>
      <c r="E16" s="406">
        <v>0</v>
      </c>
      <c r="F16" s="404" t="s">
        <v>15</v>
      </c>
      <c r="G16" s="404" t="s">
        <v>1045</v>
      </c>
      <c r="H16" s="336" t="s">
        <v>1627</v>
      </c>
      <c r="I16" s="405" t="s">
        <v>866</v>
      </c>
      <c r="J16" s="336" t="s">
        <v>871</v>
      </c>
      <c r="K16" s="336" t="s">
        <v>1112</v>
      </c>
      <c r="L16" s="336" t="s">
        <v>1483</v>
      </c>
      <c r="M16" s="336" t="s">
        <v>830</v>
      </c>
      <c r="N16" s="336" t="s">
        <v>802</v>
      </c>
      <c r="O16" s="408">
        <v>426.97999999999996</v>
      </c>
      <c r="P16" s="408">
        <v>0</v>
      </c>
      <c r="Q16" s="405" t="s">
        <v>15</v>
      </c>
      <c r="R16" s="405" t="s">
        <v>1628</v>
      </c>
      <c r="S16" s="336" t="s">
        <v>1619</v>
      </c>
      <c r="T16" s="403"/>
      <c r="U16" s="403"/>
      <c r="V16" s="403"/>
      <c r="W16" s="403"/>
      <c r="X16" s="403"/>
      <c r="Y16" s="403"/>
      <c r="Z16" s="408">
        <v>426.97999999999996</v>
      </c>
    </row>
    <row r="17" spans="2:26" x14ac:dyDescent="0.3">
      <c r="B17" s="407" t="s">
        <v>830</v>
      </c>
      <c r="C17" s="404" t="s">
        <v>855</v>
      </c>
      <c r="D17" s="406">
        <v>426.97999999999996</v>
      </c>
      <c r="E17" s="406">
        <v>0</v>
      </c>
      <c r="F17" s="404" t="s">
        <v>15</v>
      </c>
      <c r="G17" s="404" t="s">
        <v>1045</v>
      </c>
      <c r="H17" s="336" t="s">
        <v>1627</v>
      </c>
      <c r="I17" s="405" t="s">
        <v>866</v>
      </c>
      <c r="J17" s="336" t="s">
        <v>871</v>
      </c>
      <c r="K17" s="336" t="s">
        <v>1112</v>
      </c>
      <c r="L17" s="336" t="s">
        <v>1483</v>
      </c>
      <c r="M17" s="336" t="s">
        <v>830</v>
      </c>
      <c r="N17" s="336" t="s">
        <v>802</v>
      </c>
      <c r="O17" s="408">
        <v>426.97999999999996</v>
      </c>
      <c r="P17" s="408">
        <v>0</v>
      </c>
      <c r="Q17" s="405" t="s">
        <v>15</v>
      </c>
      <c r="R17" s="405" t="s">
        <v>1628</v>
      </c>
      <c r="S17" s="336" t="s">
        <v>1619</v>
      </c>
      <c r="T17" s="403"/>
      <c r="U17" s="403"/>
      <c r="V17" s="403"/>
      <c r="W17" s="403"/>
      <c r="X17" s="403"/>
      <c r="Y17" s="408">
        <v>426.97999999999996</v>
      </c>
      <c r="Z17" s="403"/>
    </row>
    <row r="18" spans="2:26" x14ac:dyDescent="0.3">
      <c r="B18" s="407" t="s">
        <v>800</v>
      </c>
      <c r="C18" s="404" t="s">
        <v>853</v>
      </c>
      <c r="D18" s="406">
        <v>-334776.75</v>
      </c>
      <c r="E18" s="406">
        <v>-13889.08</v>
      </c>
      <c r="F18" s="404" t="s">
        <v>15</v>
      </c>
      <c r="G18" s="404" t="s">
        <v>1045</v>
      </c>
      <c r="H18" s="336" t="s">
        <v>1627</v>
      </c>
      <c r="I18" s="405" t="s">
        <v>866</v>
      </c>
      <c r="J18" s="336" t="s">
        <v>872</v>
      </c>
      <c r="K18" s="336" t="s">
        <v>1760</v>
      </c>
      <c r="L18" s="336" t="s">
        <v>1482</v>
      </c>
      <c r="M18" s="336" t="s">
        <v>802</v>
      </c>
      <c r="N18" s="336" t="s">
        <v>800</v>
      </c>
      <c r="O18" s="408">
        <v>334776.75</v>
      </c>
      <c r="P18" s="408">
        <v>13889.08</v>
      </c>
      <c r="Q18" s="405" t="s">
        <v>15</v>
      </c>
      <c r="R18" s="405" t="s">
        <v>1631</v>
      </c>
      <c r="S18" s="336" t="s">
        <v>1566</v>
      </c>
      <c r="T18" s="403"/>
      <c r="U18" s="403"/>
      <c r="V18" s="403"/>
      <c r="W18" s="403"/>
      <c r="X18" s="403"/>
      <c r="Y18" s="403"/>
      <c r="Z18" s="408">
        <v>334776.75</v>
      </c>
    </row>
    <row r="19" spans="2:26" x14ac:dyDescent="0.3">
      <c r="B19" s="407" t="s">
        <v>802</v>
      </c>
      <c r="C19" s="404" t="s">
        <v>855</v>
      </c>
      <c r="D19" s="406">
        <v>334776.75</v>
      </c>
      <c r="E19" s="406">
        <v>13889.08</v>
      </c>
      <c r="F19" s="404" t="s">
        <v>15</v>
      </c>
      <c r="G19" s="404" t="s">
        <v>1045</v>
      </c>
      <c r="H19" s="336" t="s">
        <v>1627</v>
      </c>
      <c r="I19" s="405" t="s">
        <v>866</v>
      </c>
      <c r="J19" s="336" t="s">
        <v>872</v>
      </c>
      <c r="K19" s="336" t="s">
        <v>1760</v>
      </c>
      <c r="L19" s="336" t="s">
        <v>1482</v>
      </c>
      <c r="M19" s="336" t="s">
        <v>802</v>
      </c>
      <c r="N19" s="336" t="s">
        <v>800</v>
      </c>
      <c r="O19" s="408">
        <v>334776.75</v>
      </c>
      <c r="P19" s="408">
        <v>13889.08</v>
      </c>
      <c r="Q19" s="405" t="s">
        <v>15</v>
      </c>
      <c r="R19" s="405" t="s">
        <v>1631</v>
      </c>
      <c r="S19" s="336" t="s">
        <v>1566</v>
      </c>
      <c r="T19" s="403"/>
      <c r="U19" s="403"/>
      <c r="V19" s="403"/>
      <c r="W19" s="403"/>
      <c r="X19" s="403"/>
      <c r="Y19" s="408">
        <v>334776.75</v>
      </c>
      <c r="Z19" s="403"/>
    </row>
    <row r="20" spans="2:26" x14ac:dyDescent="0.3">
      <c r="B20" s="407" t="s">
        <v>802</v>
      </c>
      <c r="C20" s="404" t="s">
        <v>853</v>
      </c>
      <c r="D20" s="406">
        <v>-10000</v>
      </c>
      <c r="E20" s="406">
        <v>0</v>
      </c>
      <c r="F20" s="403"/>
      <c r="G20" s="404" t="s">
        <v>1045</v>
      </c>
      <c r="H20" s="336" t="s">
        <v>1632</v>
      </c>
      <c r="I20" s="405" t="s">
        <v>856</v>
      </c>
      <c r="J20" s="336" t="s">
        <v>1633</v>
      </c>
      <c r="K20" s="336" t="s">
        <v>1050</v>
      </c>
      <c r="L20" s="336" t="s">
        <v>1486</v>
      </c>
      <c r="M20" s="336" t="s">
        <v>824</v>
      </c>
      <c r="N20" s="336" t="s">
        <v>802</v>
      </c>
      <c r="O20" s="408">
        <v>10000</v>
      </c>
      <c r="P20" s="408">
        <v>0</v>
      </c>
      <c r="Q20" s="403"/>
      <c r="R20" s="403"/>
      <c r="S20" s="336" t="s">
        <v>1634</v>
      </c>
      <c r="T20" s="403"/>
      <c r="U20" s="403"/>
      <c r="V20" s="403"/>
      <c r="W20" s="403"/>
      <c r="X20" s="403"/>
      <c r="Y20" s="403"/>
      <c r="Z20" s="408">
        <v>10000</v>
      </c>
    </row>
    <row r="21" spans="2:26" x14ac:dyDescent="0.3">
      <c r="B21" s="407" t="s">
        <v>824</v>
      </c>
      <c r="C21" s="404" t="s">
        <v>855</v>
      </c>
      <c r="D21" s="406">
        <v>10000</v>
      </c>
      <c r="E21" s="406">
        <v>0</v>
      </c>
      <c r="F21" s="403"/>
      <c r="G21" s="404" t="s">
        <v>1045</v>
      </c>
      <c r="H21" s="336" t="s">
        <v>1632</v>
      </c>
      <c r="I21" s="405" t="s">
        <v>856</v>
      </c>
      <c r="J21" s="336" t="s">
        <v>1633</v>
      </c>
      <c r="K21" s="336" t="s">
        <v>1050</v>
      </c>
      <c r="L21" s="336" t="s">
        <v>1486</v>
      </c>
      <c r="M21" s="336" t="s">
        <v>824</v>
      </c>
      <c r="N21" s="336" t="s">
        <v>802</v>
      </c>
      <c r="O21" s="408">
        <v>10000</v>
      </c>
      <c r="P21" s="408">
        <v>0</v>
      </c>
      <c r="Q21" s="403"/>
      <c r="R21" s="403"/>
      <c r="S21" s="336" t="s">
        <v>1634</v>
      </c>
      <c r="T21" s="403"/>
      <c r="U21" s="403"/>
      <c r="V21" s="403"/>
      <c r="W21" s="403"/>
      <c r="X21" s="403"/>
      <c r="Y21" s="408">
        <v>10000</v>
      </c>
      <c r="Z21" s="403"/>
    </row>
    <row r="22" spans="2:26" x14ac:dyDescent="0.3">
      <c r="B22" s="407" t="s">
        <v>919</v>
      </c>
      <c r="C22" s="404" t="s">
        <v>853</v>
      </c>
      <c r="D22" s="406">
        <v>-43304.13</v>
      </c>
      <c r="E22" s="406">
        <v>0</v>
      </c>
      <c r="F22" s="403"/>
      <c r="G22" s="404" t="s">
        <v>1045</v>
      </c>
      <c r="H22" s="336" t="s">
        <v>1635</v>
      </c>
      <c r="I22" s="403"/>
      <c r="J22" s="336" t="s">
        <v>920</v>
      </c>
      <c r="K22" s="336" t="s">
        <v>921</v>
      </c>
      <c r="L22" s="403"/>
      <c r="M22" s="336" t="s">
        <v>917</v>
      </c>
      <c r="N22" s="336" t="s">
        <v>919</v>
      </c>
      <c r="O22" s="408">
        <v>43304.13</v>
      </c>
      <c r="P22" s="408">
        <v>0</v>
      </c>
      <c r="Q22" s="403"/>
      <c r="R22" s="403"/>
      <c r="S22" s="336" t="s">
        <v>858</v>
      </c>
      <c r="T22" s="403"/>
      <c r="U22" s="403"/>
      <c r="V22" s="403"/>
      <c r="W22" s="403"/>
      <c r="X22" s="403"/>
      <c r="Y22" s="403"/>
      <c r="Z22" s="408">
        <v>43304.13</v>
      </c>
    </row>
    <row r="23" spans="2:26" x14ac:dyDescent="0.3">
      <c r="B23" s="407" t="s">
        <v>917</v>
      </c>
      <c r="C23" s="404" t="s">
        <v>855</v>
      </c>
      <c r="D23" s="406">
        <v>43304.13</v>
      </c>
      <c r="E23" s="406">
        <v>0</v>
      </c>
      <c r="F23" s="403"/>
      <c r="G23" s="404" t="s">
        <v>1045</v>
      </c>
      <c r="H23" s="336" t="s">
        <v>1635</v>
      </c>
      <c r="I23" s="403"/>
      <c r="J23" s="336" t="s">
        <v>920</v>
      </c>
      <c r="K23" s="336" t="s">
        <v>921</v>
      </c>
      <c r="L23" s="403"/>
      <c r="M23" s="336" t="s">
        <v>917</v>
      </c>
      <c r="N23" s="336" t="s">
        <v>919</v>
      </c>
      <c r="O23" s="408">
        <v>43304.13</v>
      </c>
      <c r="P23" s="408">
        <v>0</v>
      </c>
      <c r="Q23" s="403"/>
      <c r="R23" s="403"/>
      <c r="S23" s="336" t="s">
        <v>858</v>
      </c>
      <c r="T23" s="403"/>
      <c r="U23" s="403"/>
      <c r="V23" s="403"/>
      <c r="W23" s="403"/>
      <c r="X23" s="403"/>
      <c r="Y23" s="408">
        <v>43304.13</v>
      </c>
      <c r="Z23" s="403"/>
    </row>
    <row r="24" spans="2:26" x14ac:dyDescent="0.3">
      <c r="B24" s="407" t="s">
        <v>918</v>
      </c>
      <c r="C24" s="404" t="s">
        <v>853</v>
      </c>
      <c r="D24" s="406">
        <v>-154198.68</v>
      </c>
      <c r="E24" s="406">
        <v>0</v>
      </c>
      <c r="F24" s="403"/>
      <c r="G24" s="404" t="s">
        <v>1045</v>
      </c>
      <c r="H24" s="336" t="s">
        <v>1635</v>
      </c>
      <c r="I24" s="403"/>
      <c r="J24" s="336" t="s">
        <v>922</v>
      </c>
      <c r="K24" s="336" t="s">
        <v>923</v>
      </c>
      <c r="L24" s="336" t="s">
        <v>1525</v>
      </c>
      <c r="M24" s="336" t="s">
        <v>924</v>
      </c>
      <c r="N24" s="336" t="s">
        <v>918</v>
      </c>
      <c r="O24" s="408">
        <v>154198.68</v>
      </c>
      <c r="P24" s="408">
        <v>0</v>
      </c>
      <c r="Q24" s="403"/>
      <c r="R24" s="403"/>
      <c r="S24" s="336" t="s">
        <v>864</v>
      </c>
      <c r="T24" s="403"/>
      <c r="U24" s="403"/>
      <c r="V24" s="403"/>
      <c r="W24" s="403"/>
      <c r="X24" s="403"/>
      <c r="Y24" s="403"/>
      <c r="Z24" s="408">
        <v>154198.68</v>
      </c>
    </row>
    <row r="25" spans="2:26" x14ac:dyDescent="0.3">
      <c r="B25" s="407" t="s">
        <v>924</v>
      </c>
      <c r="C25" s="404" t="s">
        <v>855</v>
      </c>
      <c r="D25" s="406">
        <v>154198.68</v>
      </c>
      <c r="E25" s="406">
        <v>0</v>
      </c>
      <c r="F25" s="403"/>
      <c r="G25" s="404" t="s">
        <v>1045</v>
      </c>
      <c r="H25" s="336" t="s">
        <v>1635</v>
      </c>
      <c r="I25" s="403"/>
      <c r="J25" s="336" t="s">
        <v>922</v>
      </c>
      <c r="K25" s="336" t="s">
        <v>923</v>
      </c>
      <c r="L25" s="336" t="s">
        <v>1525</v>
      </c>
      <c r="M25" s="336" t="s">
        <v>924</v>
      </c>
      <c r="N25" s="336" t="s">
        <v>918</v>
      </c>
      <c r="O25" s="408">
        <v>154198.68</v>
      </c>
      <c r="P25" s="408">
        <v>0</v>
      </c>
      <c r="Q25" s="403"/>
      <c r="R25" s="403"/>
      <c r="S25" s="336" t="s">
        <v>864</v>
      </c>
      <c r="T25" s="403"/>
      <c r="U25" s="403"/>
      <c r="V25" s="403"/>
      <c r="W25" s="403"/>
      <c r="X25" s="403"/>
      <c r="Y25" s="408">
        <v>154198.68</v>
      </c>
      <c r="Z25" s="403"/>
    </row>
    <row r="26" spans="2:26" x14ac:dyDescent="0.3">
      <c r="B26" s="407" t="s">
        <v>918</v>
      </c>
      <c r="C26" s="404" t="s">
        <v>853</v>
      </c>
      <c r="D26" s="406">
        <v>-848.38</v>
      </c>
      <c r="E26" s="406">
        <v>0</v>
      </c>
      <c r="F26" s="403"/>
      <c r="G26" s="404" t="s">
        <v>1045</v>
      </c>
      <c r="H26" s="336" t="s">
        <v>1635</v>
      </c>
      <c r="I26" s="403"/>
      <c r="J26" s="336" t="s">
        <v>925</v>
      </c>
      <c r="K26" s="336" t="s">
        <v>926</v>
      </c>
      <c r="L26" s="336" t="s">
        <v>1486</v>
      </c>
      <c r="M26" s="336" t="s">
        <v>824</v>
      </c>
      <c r="N26" s="336" t="s">
        <v>918</v>
      </c>
      <c r="O26" s="408">
        <v>848.38</v>
      </c>
      <c r="P26" s="408">
        <v>0</v>
      </c>
      <c r="Q26" s="403"/>
      <c r="R26" s="403"/>
      <c r="S26" s="336" t="s">
        <v>860</v>
      </c>
      <c r="T26" s="403"/>
      <c r="U26" s="403"/>
      <c r="V26" s="403"/>
      <c r="W26" s="403"/>
      <c r="X26" s="403"/>
      <c r="Y26" s="403"/>
      <c r="Z26" s="408">
        <v>848.38</v>
      </c>
    </row>
    <row r="27" spans="2:26" x14ac:dyDescent="0.3">
      <c r="B27" s="407" t="s">
        <v>824</v>
      </c>
      <c r="C27" s="404" t="s">
        <v>855</v>
      </c>
      <c r="D27" s="406">
        <v>848.38</v>
      </c>
      <c r="E27" s="406">
        <v>0</v>
      </c>
      <c r="F27" s="403"/>
      <c r="G27" s="404" t="s">
        <v>1045</v>
      </c>
      <c r="H27" s="336" t="s">
        <v>1635</v>
      </c>
      <c r="I27" s="403"/>
      <c r="J27" s="336" t="s">
        <v>925</v>
      </c>
      <c r="K27" s="336" t="s">
        <v>926</v>
      </c>
      <c r="L27" s="336" t="s">
        <v>1486</v>
      </c>
      <c r="M27" s="336" t="s">
        <v>824</v>
      </c>
      <c r="N27" s="336" t="s">
        <v>918</v>
      </c>
      <c r="O27" s="408">
        <v>848.38</v>
      </c>
      <c r="P27" s="408">
        <v>0</v>
      </c>
      <c r="Q27" s="403"/>
      <c r="R27" s="403"/>
      <c r="S27" s="336" t="s">
        <v>860</v>
      </c>
      <c r="T27" s="403"/>
      <c r="U27" s="403"/>
      <c r="V27" s="403"/>
      <c r="W27" s="403"/>
      <c r="X27" s="403"/>
      <c r="Y27" s="408">
        <v>848.38</v>
      </c>
      <c r="Z27" s="403"/>
    </row>
    <row r="28" spans="2:26" x14ac:dyDescent="0.3">
      <c r="B28" s="407" t="s">
        <v>918</v>
      </c>
      <c r="C28" s="404" t="s">
        <v>853</v>
      </c>
      <c r="D28" s="406">
        <v>-1512.09</v>
      </c>
      <c r="E28" s="406">
        <v>0</v>
      </c>
      <c r="F28" s="403"/>
      <c r="G28" s="404" t="s">
        <v>1045</v>
      </c>
      <c r="H28" s="336" t="s">
        <v>1635</v>
      </c>
      <c r="I28" s="403"/>
      <c r="J28" s="336" t="s">
        <v>927</v>
      </c>
      <c r="K28" s="336" t="s">
        <v>928</v>
      </c>
      <c r="L28" s="336" t="s">
        <v>1526</v>
      </c>
      <c r="M28" s="336" t="s">
        <v>824</v>
      </c>
      <c r="N28" s="336" t="s">
        <v>918</v>
      </c>
      <c r="O28" s="408">
        <v>1512.09</v>
      </c>
      <c r="P28" s="408">
        <v>0</v>
      </c>
      <c r="Q28" s="403"/>
      <c r="R28" s="403"/>
      <c r="S28" s="336" t="s">
        <v>862</v>
      </c>
      <c r="T28" s="403"/>
      <c r="U28" s="403"/>
      <c r="V28" s="403"/>
      <c r="W28" s="403"/>
      <c r="X28" s="403"/>
      <c r="Y28" s="403"/>
      <c r="Z28" s="408">
        <v>1512.09</v>
      </c>
    </row>
    <row r="29" spans="2:26" x14ac:dyDescent="0.3">
      <c r="B29" s="407" t="s">
        <v>824</v>
      </c>
      <c r="C29" s="404" t="s">
        <v>855</v>
      </c>
      <c r="D29" s="406">
        <v>1512.09</v>
      </c>
      <c r="E29" s="406">
        <v>0</v>
      </c>
      <c r="F29" s="403"/>
      <c r="G29" s="404" t="s">
        <v>1045</v>
      </c>
      <c r="H29" s="336" t="s">
        <v>1635</v>
      </c>
      <c r="I29" s="403"/>
      <c r="J29" s="336" t="s">
        <v>927</v>
      </c>
      <c r="K29" s="336" t="s">
        <v>928</v>
      </c>
      <c r="L29" s="336" t="s">
        <v>1526</v>
      </c>
      <c r="M29" s="336" t="s">
        <v>824</v>
      </c>
      <c r="N29" s="336" t="s">
        <v>918</v>
      </c>
      <c r="O29" s="408">
        <v>1512.09</v>
      </c>
      <c r="P29" s="408">
        <v>0</v>
      </c>
      <c r="Q29" s="403"/>
      <c r="R29" s="403"/>
      <c r="S29" s="336" t="s">
        <v>862</v>
      </c>
      <c r="T29" s="403"/>
      <c r="U29" s="403"/>
      <c r="V29" s="403"/>
      <c r="W29" s="403"/>
      <c r="X29" s="403"/>
      <c r="Y29" s="408">
        <v>1512.09</v>
      </c>
      <c r="Z29" s="403"/>
    </row>
    <row r="30" spans="2:26" x14ac:dyDescent="0.3">
      <c r="B30" s="407" t="s">
        <v>802</v>
      </c>
      <c r="C30" s="404" t="s">
        <v>853</v>
      </c>
      <c r="D30" s="406">
        <v>-14086.220000000001</v>
      </c>
      <c r="E30" s="406">
        <v>-566.28000000000009</v>
      </c>
      <c r="F30" s="404" t="s">
        <v>15</v>
      </c>
      <c r="G30" s="404" t="s">
        <v>1045</v>
      </c>
      <c r="H30" s="336" t="s">
        <v>1635</v>
      </c>
      <c r="I30" s="405" t="s">
        <v>856</v>
      </c>
      <c r="J30" s="336" t="s">
        <v>1636</v>
      </c>
      <c r="K30" s="336" t="s">
        <v>1761</v>
      </c>
      <c r="L30" s="336" t="s">
        <v>1483</v>
      </c>
      <c r="M30" s="336" t="s">
        <v>826</v>
      </c>
      <c r="N30" s="336" t="s">
        <v>802</v>
      </c>
      <c r="O30" s="408">
        <v>14086.220000000001</v>
      </c>
      <c r="P30" s="408">
        <v>566.28000000000009</v>
      </c>
      <c r="Q30" s="405" t="s">
        <v>15</v>
      </c>
      <c r="R30" s="405" t="s">
        <v>1638</v>
      </c>
      <c r="S30" s="336" t="s">
        <v>1639</v>
      </c>
      <c r="T30" s="403"/>
      <c r="U30" s="403"/>
      <c r="V30" s="403"/>
      <c r="W30" s="403"/>
      <c r="X30" s="403"/>
      <c r="Y30" s="403"/>
      <c r="Z30" s="408">
        <v>14086.220000000001</v>
      </c>
    </row>
    <row r="31" spans="2:26" x14ac:dyDescent="0.3">
      <c r="B31" s="407" t="s">
        <v>826</v>
      </c>
      <c r="C31" s="404" t="s">
        <v>855</v>
      </c>
      <c r="D31" s="406">
        <v>14086.220000000001</v>
      </c>
      <c r="E31" s="406">
        <v>566.28000000000009</v>
      </c>
      <c r="F31" s="404" t="s">
        <v>15</v>
      </c>
      <c r="G31" s="404" t="s">
        <v>1045</v>
      </c>
      <c r="H31" s="336" t="s">
        <v>1635</v>
      </c>
      <c r="I31" s="405" t="s">
        <v>856</v>
      </c>
      <c r="J31" s="336" t="s">
        <v>1636</v>
      </c>
      <c r="K31" s="336" t="s">
        <v>1761</v>
      </c>
      <c r="L31" s="336" t="s">
        <v>1483</v>
      </c>
      <c r="M31" s="336" t="s">
        <v>826</v>
      </c>
      <c r="N31" s="336" t="s">
        <v>802</v>
      </c>
      <c r="O31" s="408">
        <v>14086.220000000001</v>
      </c>
      <c r="P31" s="408">
        <v>566.28000000000009</v>
      </c>
      <c r="Q31" s="405" t="s">
        <v>15</v>
      </c>
      <c r="R31" s="405" t="s">
        <v>1638</v>
      </c>
      <c r="S31" s="336" t="s">
        <v>1639</v>
      </c>
      <c r="T31" s="403"/>
      <c r="U31" s="403"/>
      <c r="V31" s="403"/>
      <c r="W31" s="403"/>
      <c r="X31" s="403"/>
      <c r="Y31" s="408">
        <v>14086.220000000001</v>
      </c>
      <c r="Z31" s="403"/>
    </row>
    <row r="32" spans="2:26" x14ac:dyDescent="0.3">
      <c r="B32" s="407" t="s">
        <v>802</v>
      </c>
      <c r="C32" s="404" t="s">
        <v>853</v>
      </c>
      <c r="D32" s="406">
        <v>-6921.2</v>
      </c>
      <c r="E32" s="406">
        <v>0</v>
      </c>
      <c r="F32" s="403"/>
      <c r="G32" s="404" t="s">
        <v>1045</v>
      </c>
      <c r="H32" s="336" t="s">
        <v>1635</v>
      </c>
      <c r="I32" s="405" t="s">
        <v>856</v>
      </c>
      <c r="J32" s="336" t="s">
        <v>1640</v>
      </c>
      <c r="K32" s="336" t="s">
        <v>1762</v>
      </c>
      <c r="L32" s="336" t="s">
        <v>1483</v>
      </c>
      <c r="M32" s="336" t="s">
        <v>826</v>
      </c>
      <c r="N32" s="336" t="s">
        <v>802</v>
      </c>
      <c r="O32" s="408">
        <v>6921.2</v>
      </c>
      <c r="P32" s="408">
        <v>0</v>
      </c>
      <c r="Q32" s="403"/>
      <c r="R32" s="403"/>
      <c r="S32" s="336" t="s">
        <v>1642</v>
      </c>
      <c r="T32" s="403"/>
      <c r="U32" s="403"/>
      <c r="V32" s="403"/>
      <c r="W32" s="403"/>
      <c r="X32" s="403"/>
      <c r="Y32" s="403"/>
      <c r="Z32" s="408">
        <v>6921.2</v>
      </c>
    </row>
    <row r="33" spans="2:26" x14ac:dyDescent="0.3">
      <c r="B33" s="407" t="s">
        <v>826</v>
      </c>
      <c r="C33" s="404" t="s">
        <v>855</v>
      </c>
      <c r="D33" s="406">
        <v>6921.2</v>
      </c>
      <c r="E33" s="406">
        <v>0</v>
      </c>
      <c r="F33" s="403"/>
      <c r="G33" s="404" t="s">
        <v>1045</v>
      </c>
      <c r="H33" s="336" t="s">
        <v>1635</v>
      </c>
      <c r="I33" s="405" t="s">
        <v>856</v>
      </c>
      <c r="J33" s="336" t="s">
        <v>1640</v>
      </c>
      <c r="K33" s="336" t="s">
        <v>1762</v>
      </c>
      <c r="L33" s="336" t="s">
        <v>1483</v>
      </c>
      <c r="M33" s="336" t="s">
        <v>826</v>
      </c>
      <c r="N33" s="336" t="s">
        <v>802</v>
      </c>
      <c r="O33" s="408">
        <v>6921.2</v>
      </c>
      <c r="P33" s="408">
        <v>0</v>
      </c>
      <c r="Q33" s="403"/>
      <c r="R33" s="403"/>
      <c r="S33" s="336" t="s">
        <v>1642</v>
      </c>
      <c r="T33" s="403"/>
      <c r="U33" s="403"/>
      <c r="V33" s="403"/>
      <c r="W33" s="403"/>
      <c r="X33" s="403"/>
      <c r="Y33" s="408">
        <v>6921.2</v>
      </c>
      <c r="Z33" s="403"/>
    </row>
    <row r="34" spans="2:26" x14ac:dyDescent="0.3">
      <c r="B34" s="407" t="s">
        <v>834</v>
      </c>
      <c r="C34" s="404" t="s">
        <v>853</v>
      </c>
      <c r="D34" s="406">
        <v>-3043469.59</v>
      </c>
      <c r="E34" s="406">
        <v>-122301.37000000001</v>
      </c>
      <c r="F34" s="404" t="s">
        <v>15</v>
      </c>
      <c r="G34" s="404" t="s">
        <v>1045</v>
      </c>
      <c r="H34" s="336" t="s">
        <v>1635</v>
      </c>
      <c r="I34" s="405" t="s">
        <v>865</v>
      </c>
      <c r="J34" s="336" t="s">
        <v>1643</v>
      </c>
      <c r="K34" s="336" t="s">
        <v>1644</v>
      </c>
      <c r="L34" s="403"/>
      <c r="M34" s="336" t="s">
        <v>772</v>
      </c>
      <c r="N34" s="336" t="s">
        <v>834</v>
      </c>
      <c r="O34" s="408">
        <v>3043469.59</v>
      </c>
      <c r="P34" s="408">
        <v>122301.37000000001</v>
      </c>
      <c r="Q34" s="405" t="s">
        <v>15</v>
      </c>
      <c r="R34" s="405" t="s">
        <v>1645</v>
      </c>
      <c r="S34" s="336" t="s">
        <v>1518</v>
      </c>
      <c r="T34" s="403"/>
      <c r="U34" s="403"/>
      <c r="V34" s="403"/>
      <c r="W34" s="403"/>
      <c r="X34" s="403"/>
      <c r="Y34" s="403"/>
      <c r="Z34" s="408">
        <v>3043469.59</v>
      </c>
    </row>
    <row r="35" spans="2:26" x14ac:dyDescent="0.3">
      <c r="B35" s="407" t="s">
        <v>772</v>
      </c>
      <c r="C35" s="404" t="s">
        <v>855</v>
      </c>
      <c r="D35" s="406">
        <v>3043469.59</v>
      </c>
      <c r="E35" s="406">
        <v>122301.37000000001</v>
      </c>
      <c r="F35" s="404" t="s">
        <v>15</v>
      </c>
      <c r="G35" s="404" t="s">
        <v>1045</v>
      </c>
      <c r="H35" s="336" t="s">
        <v>1635</v>
      </c>
      <c r="I35" s="405" t="s">
        <v>865</v>
      </c>
      <c r="J35" s="336" t="s">
        <v>1643</v>
      </c>
      <c r="K35" s="336" t="s">
        <v>1644</v>
      </c>
      <c r="L35" s="403"/>
      <c r="M35" s="336" t="s">
        <v>772</v>
      </c>
      <c r="N35" s="336" t="s">
        <v>834</v>
      </c>
      <c r="O35" s="408">
        <v>3043469.59</v>
      </c>
      <c r="P35" s="408">
        <v>122301.37000000001</v>
      </c>
      <c r="Q35" s="405" t="s">
        <v>15</v>
      </c>
      <c r="R35" s="405" t="s">
        <v>1645</v>
      </c>
      <c r="S35" s="336" t="s">
        <v>1518</v>
      </c>
      <c r="T35" s="403"/>
      <c r="U35" s="403"/>
      <c r="V35" s="403"/>
      <c r="W35" s="403"/>
      <c r="X35" s="403"/>
      <c r="Y35" s="408">
        <v>3043469.59</v>
      </c>
      <c r="Z35" s="403"/>
    </row>
    <row r="36" spans="2:26" x14ac:dyDescent="0.3">
      <c r="B36" s="407" t="s">
        <v>818</v>
      </c>
      <c r="C36" s="404" t="s">
        <v>853</v>
      </c>
      <c r="D36" s="406">
        <v>-2799562.5</v>
      </c>
      <c r="E36" s="406">
        <v>-112500</v>
      </c>
      <c r="F36" s="404" t="s">
        <v>15</v>
      </c>
      <c r="G36" s="404" t="s">
        <v>1045</v>
      </c>
      <c r="H36" s="336" t="s">
        <v>1635</v>
      </c>
      <c r="I36" s="405" t="s">
        <v>865</v>
      </c>
      <c r="J36" s="336" t="s">
        <v>1646</v>
      </c>
      <c r="K36" s="336" t="s">
        <v>1647</v>
      </c>
      <c r="L36" s="403"/>
      <c r="M36" s="336" t="s">
        <v>828</v>
      </c>
      <c r="N36" s="336" t="s">
        <v>818</v>
      </c>
      <c r="O36" s="408">
        <v>2799562.5</v>
      </c>
      <c r="P36" s="408">
        <v>112500</v>
      </c>
      <c r="Q36" s="405" t="s">
        <v>15</v>
      </c>
      <c r="R36" s="405" t="s">
        <v>1645</v>
      </c>
      <c r="S36" s="336" t="s">
        <v>1517</v>
      </c>
      <c r="T36" s="403"/>
      <c r="U36" s="403"/>
      <c r="V36" s="403"/>
      <c r="W36" s="403"/>
      <c r="X36" s="403"/>
      <c r="Y36" s="403"/>
      <c r="Z36" s="408">
        <v>2799562.5</v>
      </c>
    </row>
    <row r="37" spans="2:26" x14ac:dyDescent="0.3">
      <c r="B37" s="407" t="s">
        <v>828</v>
      </c>
      <c r="C37" s="404" t="s">
        <v>855</v>
      </c>
      <c r="D37" s="406">
        <v>2799562.5</v>
      </c>
      <c r="E37" s="406">
        <v>112500</v>
      </c>
      <c r="F37" s="404" t="s">
        <v>15</v>
      </c>
      <c r="G37" s="404" t="s">
        <v>1045</v>
      </c>
      <c r="H37" s="336" t="s">
        <v>1635</v>
      </c>
      <c r="I37" s="405" t="s">
        <v>865</v>
      </c>
      <c r="J37" s="336" t="s">
        <v>1646</v>
      </c>
      <c r="K37" s="336" t="s">
        <v>1647</v>
      </c>
      <c r="L37" s="403"/>
      <c r="M37" s="336" t="s">
        <v>828</v>
      </c>
      <c r="N37" s="336" t="s">
        <v>818</v>
      </c>
      <c r="O37" s="408">
        <v>2799562.5</v>
      </c>
      <c r="P37" s="408">
        <v>112500</v>
      </c>
      <c r="Q37" s="405" t="s">
        <v>15</v>
      </c>
      <c r="R37" s="405" t="s">
        <v>1645</v>
      </c>
      <c r="S37" s="336" t="s">
        <v>1517</v>
      </c>
      <c r="T37" s="403"/>
      <c r="U37" s="403"/>
      <c r="V37" s="403"/>
      <c r="W37" s="403"/>
      <c r="X37" s="403"/>
      <c r="Y37" s="408">
        <v>2799562.5</v>
      </c>
      <c r="Z37" s="403"/>
    </row>
    <row r="38" spans="2:26" x14ac:dyDescent="0.3">
      <c r="B38" s="407" t="s">
        <v>800</v>
      </c>
      <c r="C38" s="404" t="s">
        <v>853</v>
      </c>
      <c r="D38" s="406">
        <v>-17.919999999999998</v>
      </c>
      <c r="E38" s="406">
        <v>-0.72000000000000008</v>
      </c>
      <c r="F38" s="404" t="s">
        <v>15</v>
      </c>
      <c r="G38" s="404" t="s">
        <v>1045</v>
      </c>
      <c r="H38" s="336" t="s">
        <v>1635</v>
      </c>
      <c r="I38" s="405" t="s">
        <v>866</v>
      </c>
      <c r="J38" s="336" t="s">
        <v>873</v>
      </c>
      <c r="K38" s="336" t="s">
        <v>869</v>
      </c>
      <c r="L38" s="403"/>
      <c r="M38" s="336" t="s">
        <v>832</v>
      </c>
      <c r="N38" s="336" t="s">
        <v>800</v>
      </c>
      <c r="O38" s="408">
        <v>17.919999999999998</v>
      </c>
      <c r="P38" s="408">
        <v>0.72000000000000008</v>
      </c>
      <c r="Q38" s="405" t="s">
        <v>15</v>
      </c>
      <c r="R38" s="405" t="s">
        <v>1645</v>
      </c>
      <c r="S38" s="403"/>
      <c r="T38" s="403"/>
      <c r="U38" s="403"/>
      <c r="V38" s="403"/>
      <c r="W38" s="403"/>
      <c r="X38" s="403"/>
      <c r="Y38" s="403"/>
      <c r="Z38" s="408">
        <v>17.919999999999998</v>
      </c>
    </row>
    <row r="39" spans="2:26" x14ac:dyDescent="0.3">
      <c r="B39" s="407" t="s">
        <v>832</v>
      </c>
      <c r="C39" s="404" t="s">
        <v>855</v>
      </c>
      <c r="D39" s="406">
        <v>17.919999999999998</v>
      </c>
      <c r="E39" s="406">
        <v>0.72000000000000008</v>
      </c>
      <c r="F39" s="404" t="s">
        <v>15</v>
      </c>
      <c r="G39" s="404" t="s">
        <v>1045</v>
      </c>
      <c r="H39" s="336" t="s">
        <v>1635</v>
      </c>
      <c r="I39" s="405" t="s">
        <v>866</v>
      </c>
      <c r="J39" s="336" t="s">
        <v>873</v>
      </c>
      <c r="K39" s="336" t="s">
        <v>869</v>
      </c>
      <c r="L39" s="403"/>
      <c r="M39" s="336" t="s">
        <v>832</v>
      </c>
      <c r="N39" s="336" t="s">
        <v>800</v>
      </c>
      <c r="O39" s="408">
        <v>17.919999999999998</v>
      </c>
      <c r="P39" s="408">
        <v>0.72000000000000008</v>
      </c>
      <c r="Q39" s="405" t="s">
        <v>15</v>
      </c>
      <c r="R39" s="405" t="s">
        <v>1645</v>
      </c>
      <c r="S39" s="403"/>
      <c r="T39" s="403"/>
      <c r="U39" s="403"/>
      <c r="V39" s="403"/>
      <c r="W39" s="403"/>
      <c r="X39" s="403"/>
      <c r="Y39" s="408">
        <v>17.919999999999998</v>
      </c>
      <c r="Z39" s="403"/>
    </row>
    <row r="40" spans="2:26" x14ac:dyDescent="0.3">
      <c r="B40" s="407" t="s">
        <v>800</v>
      </c>
      <c r="C40" s="404" t="s">
        <v>853</v>
      </c>
      <c r="D40" s="406">
        <v>-30.110000000000003</v>
      </c>
      <c r="E40" s="406">
        <v>-1.21</v>
      </c>
      <c r="F40" s="404" t="s">
        <v>15</v>
      </c>
      <c r="G40" s="404" t="s">
        <v>1045</v>
      </c>
      <c r="H40" s="336" t="s">
        <v>1635</v>
      </c>
      <c r="I40" s="405" t="s">
        <v>866</v>
      </c>
      <c r="J40" s="336" t="s">
        <v>1052</v>
      </c>
      <c r="K40" s="336" t="s">
        <v>869</v>
      </c>
      <c r="L40" s="403"/>
      <c r="M40" s="336" t="s">
        <v>832</v>
      </c>
      <c r="N40" s="336" t="s">
        <v>800</v>
      </c>
      <c r="O40" s="408">
        <v>30.110000000000003</v>
      </c>
      <c r="P40" s="408">
        <v>1.21</v>
      </c>
      <c r="Q40" s="405" t="s">
        <v>15</v>
      </c>
      <c r="R40" s="405" t="s">
        <v>1645</v>
      </c>
      <c r="S40" s="403"/>
      <c r="T40" s="403"/>
      <c r="U40" s="403"/>
      <c r="V40" s="403"/>
      <c r="W40" s="403"/>
      <c r="X40" s="403"/>
      <c r="Y40" s="403"/>
      <c r="Z40" s="408">
        <v>30.110000000000003</v>
      </c>
    </row>
    <row r="41" spans="2:26" x14ac:dyDescent="0.3">
      <c r="B41" s="407" t="s">
        <v>832</v>
      </c>
      <c r="C41" s="404" t="s">
        <v>855</v>
      </c>
      <c r="D41" s="406">
        <v>30.110000000000003</v>
      </c>
      <c r="E41" s="406">
        <v>1.21</v>
      </c>
      <c r="F41" s="404" t="s">
        <v>15</v>
      </c>
      <c r="G41" s="404" t="s">
        <v>1045</v>
      </c>
      <c r="H41" s="336" t="s">
        <v>1635</v>
      </c>
      <c r="I41" s="405" t="s">
        <v>866</v>
      </c>
      <c r="J41" s="336" t="s">
        <v>1052</v>
      </c>
      <c r="K41" s="336" t="s">
        <v>869</v>
      </c>
      <c r="L41" s="403"/>
      <c r="M41" s="336" t="s">
        <v>832</v>
      </c>
      <c r="N41" s="336" t="s">
        <v>800</v>
      </c>
      <c r="O41" s="408">
        <v>30.110000000000003</v>
      </c>
      <c r="P41" s="408">
        <v>1.21</v>
      </c>
      <c r="Q41" s="405" t="s">
        <v>15</v>
      </c>
      <c r="R41" s="405" t="s">
        <v>1645</v>
      </c>
      <c r="S41" s="403"/>
      <c r="T41" s="403"/>
      <c r="U41" s="403"/>
      <c r="V41" s="403"/>
      <c r="W41" s="403"/>
      <c r="X41" s="403"/>
      <c r="Y41" s="408">
        <v>30.110000000000003</v>
      </c>
      <c r="Z41" s="403"/>
    </row>
    <row r="42" spans="2:26" x14ac:dyDescent="0.3">
      <c r="B42" s="407" t="s">
        <v>800</v>
      </c>
      <c r="C42" s="404" t="s">
        <v>853</v>
      </c>
      <c r="D42" s="406">
        <v>-195.1</v>
      </c>
      <c r="E42" s="406">
        <v>-7.84</v>
      </c>
      <c r="F42" s="404" t="s">
        <v>15</v>
      </c>
      <c r="G42" s="404" t="s">
        <v>1045</v>
      </c>
      <c r="H42" s="336" t="s">
        <v>1635</v>
      </c>
      <c r="I42" s="405" t="s">
        <v>866</v>
      </c>
      <c r="J42" s="336" t="s">
        <v>1053</v>
      </c>
      <c r="K42" s="336" t="s">
        <v>869</v>
      </c>
      <c r="L42" s="403"/>
      <c r="M42" s="336" t="s">
        <v>832</v>
      </c>
      <c r="N42" s="336" t="s">
        <v>800</v>
      </c>
      <c r="O42" s="408">
        <v>195.1</v>
      </c>
      <c r="P42" s="408">
        <v>7.84</v>
      </c>
      <c r="Q42" s="405" t="s">
        <v>15</v>
      </c>
      <c r="R42" s="405" t="s">
        <v>1645</v>
      </c>
      <c r="S42" s="403"/>
      <c r="T42" s="403"/>
      <c r="U42" s="403"/>
      <c r="V42" s="403"/>
      <c r="W42" s="403"/>
      <c r="X42" s="403"/>
      <c r="Y42" s="403"/>
      <c r="Z42" s="408">
        <v>195.1</v>
      </c>
    </row>
    <row r="43" spans="2:26" x14ac:dyDescent="0.3">
      <c r="B43" s="407" t="s">
        <v>832</v>
      </c>
      <c r="C43" s="404" t="s">
        <v>855</v>
      </c>
      <c r="D43" s="406">
        <v>195.1</v>
      </c>
      <c r="E43" s="406">
        <v>7.84</v>
      </c>
      <c r="F43" s="404" t="s">
        <v>15</v>
      </c>
      <c r="G43" s="404" t="s">
        <v>1045</v>
      </c>
      <c r="H43" s="336" t="s">
        <v>1635</v>
      </c>
      <c r="I43" s="405" t="s">
        <v>866</v>
      </c>
      <c r="J43" s="336" t="s">
        <v>1053</v>
      </c>
      <c r="K43" s="336" t="s">
        <v>869</v>
      </c>
      <c r="L43" s="403"/>
      <c r="M43" s="336" t="s">
        <v>832</v>
      </c>
      <c r="N43" s="336" t="s">
        <v>800</v>
      </c>
      <c r="O43" s="408">
        <v>195.1</v>
      </c>
      <c r="P43" s="408">
        <v>7.84</v>
      </c>
      <c r="Q43" s="405" t="s">
        <v>15</v>
      </c>
      <c r="R43" s="405" t="s">
        <v>1645</v>
      </c>
      <c r="S43" s="403"/>
      <c r="T43" s="403"/>
      <c r="U43" s="403"/>
      <c r="V43" s="403"/>
      <c r="W43" s="403"/>
      <c r="X43" s="403"/>
      <c r="Y43" s="408">
        <v>195.1</v>
      </c>
      <c r="Z43" s="403"/>
    </row>
    <row r="44" spans="2:26" x14ac:dyDescent="0.3">
      <c r="B44" s="407" t="s">
        <v>800</v>
      </c>
      <c r="C44" s="404" t="s">
        <v>853</v>
      </c>
      <c r="D44" s="406">
        <v>-320.02</v>
      </c>
      <c r="E44" s="406">
        <v>-12.860000000000001</v>
      </c>
      <c r="F44" s="404" t="s">
        <v>15</v>
      </c>
      <c r="G44" s="404" t="s">
        <v>1045</v>
      </c>
      <c r="H44" s="336" t="s">
        <v>1635</v>
      </c>
      <c r="I44" s="405" t="s">
        <v>866</v>
      </c>
      <c r="J44" s="336" t="s">
        <v>1054</v>
      </c>
      <c r="K44" s="336" t="s">
        <v>869</v>
      </c>
      <c r="L44" s="403"/>
      <c r="M44" s="336" t="s">
        <v>832</v>
      </c>
      <c r="N44" s="336" t="s">
        <v>800</v>
      </c>
      <c r="O44" s="408">
        <v>320.02</v>
      </c>
      <c r="P44" s="408">
        <v>12.860000000000001</v>
      </c>
      <c r="Q44" s="405" t="s">
        <v>15</v>
      </c>
      <c r="R44" s="405" t="s">
        <v>1645</v>
      </c>
      <c r="S44" s="403"/>
      <c r="T44" s="403"/>
      <c r="U44" s="403"/>
      <c r="V44" s="403"/>
      <c r="W44" s="403"/>
      <c r="X44" s="403"/>
      <c r="Y44" s="403"/>
      <c r="Z44" s="408">
        <v>320.02</v>
      </c>
    </row>
    <row r="45" spans="2:26" x14ac:dyDescent="0.3">
      <c r="B45" s="407" t="s">
        <v>832</v>
      </c>
      <c r="C45" s="404" t="s">
        <v>855</v>
      </c>
      <c r="D45" s="406">
        <v>320.02</v>
      </c>
      <c r="E45" s="406">
        <v>12.860000000000001</v>
      </c>
      <c r="F45" s="404" t="s">
        <v>15</v>
      </c>
      <c r="G45" s="404" t="s">
        <v>1045</v>
      </c>
      <c r="H45" s="336" t="s">
        <v>1635</v>
      </c>
      <c r="I45" s="405" t="s">
        <v>866</v>
      </c>
      <c r="J45" s="336" t="s">
        <v>1054</v>
      </c>
      <c r="K45" s="336" t="s">
        <v>869</v>
      </c>
      <c r="L45" s="403"/>
      <c r="M45" s="336" t="s">
        <v>832</v>
      </c>
      <c r="N45" s="336" t="s">
        <v>800</v>
      </c>
      <c r="O45" s="408">
        <v>320.02</v>
      </c>
      <c r="P45" s="408">
        <v>12.860000000000001</v>
      </c>
      <c r="Q45" s="405" t="s">
        <v>15</v>
      </c>
      <c r="R45" s="405" t="s">
        <v>1645</v>
      </c>
      <c r="S45" s="403"/>
      <c r="T45" s="403"/>
      <c r="U45" s="403"/>
      <c r="V45" s="403"/>
      <c r="W45" s="403"/>
      <c r="X45" s="403"/>
      <c r="Y45" s="408">
        <v>320.02</v>
      </c>
      <c r="Z45" s="403"/>
    </row>
    <row r="46" spans="2:26" x14ac:dyDescent="0.3">
      <c r="B46" s="407" t="s">
        <v>800</v>
      </c>
      <c r="C46" s="404" t="s">
        <v>853</v>
      </c>
      <c r="D46" s="406">
        <v>-9999.91</v>
      </c>
      <c r="E46" s="406">
        <v>-413.44</v>
      </c>
      <c r="F46" s="404" t="s">
        <v>15</v>
      </c>
      <c r="G46" s="404" t="s">
        <v>1055</v>
      </c>
      <c r="H46" s="336" t="s">
        <v>1648</v>
      </c>
      <c r="I46" s="405" t="s">
        <v>866</v>
      </c>
      <c r="J46" s="336" t="s">
        <v>875</v>
      </c>
      <c r="K46" s="336" t="s">
        <v>1649</v>
      </c>
      <c r="L46" s="336" t="s">
        <v>1486</v>
      </c>
      <c r="M46" s="336" t="s">
        <v>802</v>
      </c>
      <c r="N46" s="336" t="s">
        <v>800</v>
      </c>
      <c r="O46" s="408">
        <v>9999.91</v>
      </c>
      <c r="P46" s="408">
        <v>413.44</v>
      </c>
      <c r="Q46" s="405" t="s">
        <v>15</v>
      </c>
      <c r="R46" s="405" t="s">
        <v>1650</v>
      </c>
      <c r="S46" s="336" t="s">
        <v>1634</v>
      </c>
      <c r="T46" s="403"/>
      <c r="U46" s="403"/>
      <c r="V46" s="403"/>
      <c r="W46" s="403"/>
      <c r="X46" s="403"/>
      <c r="Y46" s="403"/>
      <c r="Z46" s="408">
        <v>9999.91</v>
      </c>
    </row>
    <row r="47" spans="2:26" x14ac:dyDescent="0.3">
      <c r="B47" s="407" t="s">
        <v>802</v>
      </c>
      <c r="C47" s="404" t="s">
        <v>855</v>
      </c>
      <c r="D47" s="406">
        <v>9999.91</v>
      </c>
      <c r="E47" s="406">
        <v>413.44</v>
      </c>
      <c r="F47" s="404" t="s">
        <v>15</v>
      </c>
      <c r="G47" s="404" t="s">
        <v>1055</v>
      </c>
      <c r="H47" s="336" t="s">
        <v>1648</v>
      </c>
      <c r="I47" s="405" t="s">
        <v>866</v>
      </c>
      <c r="J47" s="336" t="s">
        <v>875</v>
      </c>
      <c r="K47" s="336" t="s">
        <v>1649</v>
      </c>
      <c r="L47" s="336" t="s">
        <v>1486</v>
      </c>
      <c r="M47" s="336" t="s">
        <v>802</v>
      </c>
      <c r="N47" s="336" t="s">
        <v>800</v>
      </c>
      <c r="O47" s="408">
        <v>9999.91</v>
      </c>
      <c r="P47" s="408">
        <v>413.44</v>
      </c>
      <c r="Q47" s="405" t="s">
        <v>15</v>
      </c>
      <c r="R47" s="405" t="s">
        <v>1650</v>
      </c>
      <c r="S47" s="336" t="s">
        <v>1634</v>
      </c>
      <c r="T47" s="403"/>
      <c r="U47" s="403"/>
      <c r="V47" s="403"/>
      <c r="W47" s="403"/>
      <c r="X47" s="403"/>
      <c r="Y47" s="408">
        <v>9999.91</v>
      </c>
      <c r="Z47" s="403"/>
    </row>
    <row r="48" spans="2:26" x14ac:dyDescent="0.3">
      <c r="B48" s="407" t="s">
        <v>800</v>
      </c>
      <c r="C48" s="404" t="s">
        <v>853</v>
      </c>
      <c r="D48" s="406">
        <v>-6.1</v>
      </c>
      <c r="E48" s="406">
        <v>-0.24000000000000002</v>
      </c>
      <c r="F48" s="404" t="s">
        <v>15</v>
      </c>
      <c r="G48" s="404" t="s">
        <v>1055</v>
      </c>
      <c r="H48" s="336" t="s">
        <v>1651</v>
      </c>
      <c r="I48" s="405" t="s">
        <v>866</v>
      </c>
      <c r="J48" s="336" t="s">
        <v>876</v>
      </c>
      <c r="K48" s="336" t="s">
        <v>869</v>
      </c>
      <c r="L48" s="403"/>
      <c r="M48" s="336" t="s">
        <v>832</v>
      </c>
      <c r="N48" s="336" t="s">
        <v>800</v>
      </c>
      <c r="O48" s="408">
        <v>6.1</v>
      </c>
      <c r="P48" s="408">
        <v>0.24000000000000002</v>
      </c>
      <c r="Q48" s="405" t="s">
        <v>15</v>
      </c>
      <c r="R48" s="405" t="s">
        <v>1652</v>
      </c>
      <c r="S48" s="403"/>
      <c r="T48" s="403"/>
      <c r="U48" s="403"/>
      <c r="V48" s="403"/>
      <c r="W48" s="403"/>
      <c r="X48" s="403"/>
      <c r="Y48" s="403"/>
      <c r="Z48" s="408">
        <v>6.1</v>
      </c>
    </row>
    <row r="49" spans="2:26" x14ac:dyDescent="0.3">
      <c r="B49" s="407" t="s">
        <v>832</v>
      </c>
      <c r="C49" s="404" t="s">
        <v>855</v>
      </c>
      <c r="D49" s="406">
        <v>6.1</v>
      </c>
      <c r="E49" s="406">
        <v>0.24000000000000002</v>
      </c>
      <c r="F49" s="404" t="s">
        <v>15</v>
      </c>
      <c r="G49" s="404" t="s">
        <v>1055</v>
      </c>
      <c r="H49" s="336" t="s">
        <v>1651</v>
      </c>
      <c r="I49" s="405" t="s">
        <v>866</v>
      </c>
      <c r="J49" s="336" t="s">
        <v>876</v>
      </c>
      <c r="K49" s="336" t="s">
        <v>869</v>
      </c>
      <c r="L49" s="403"/>
      <c r="M49" s="336" t="s">
        <v>832</v>
      </c>
      <c r="N49" s="336" t="s">
        <v>800</v>
      </c>
      <c r="O49" s="408">
        <v>6.1</v>
      </c>
      <c r="P49" s="408">
        <v>0.24000000000000002</v>
      </c>
      <c r="Q49" s="405" t="s">
        <v>15</v>
      </c>
      <c r="R49" s="405" t="s">
        <v>1652</v>
      </c>
      <c r="S49" s="403"/>
      <c r="T49" s="403"/>
      <c r="U49" s="403"/>
      <c r="V49" s="403"/>
      <c r="W49" s="403"/>
      <c r="X49" s="403"/>
      <c r="Y49" s="408">
        <v>6.1</v>
      </c>
      <c r="Z49" s="403"/>
    </row>
    <row r="50" spans="2:26" x14ac:dyDescent="0.3">
      <c r="B50" s="407" t="s">
        <v>800</v>
      </c>
      <c r="C50" s="404" t="s">
        <v>853</v>
      </c>
      <c r="D50" s="406">
        <v>-14392.01</v>
      </c>
      <c r="E50" s="406">
        <v>-566.28000000000009</v>
      </c>
      <c r="F50" s="404" t="s">
        <v>15</v>
      </c>
      <c r="G50" s="404" t="s">
        <v>1055</v>
      </c>
      <c r="H50" s="336" t="s">
        <v>1651</v>
      </c>
      <c r="I50" s="405" t="s">
        <v>866</v>
      </c>
      <c r="J50" s="336" t="s">
        <v>878</v>
      </c>
      <c r="K50" s="336" t="s">
        <v>1763</v>
      </c>
      <c r="L50" s="336" t="s">
        <v>1483</v>
      </c>
      <c r="M50" s="336" t="s">
        <v>802</v>
      </c>
      <c r="N50" s="336" t="s">
        <v>800</v>
      </c>
      <c r="O50" s="408">
        <v>14392.01</v>
      </c>
      <c r="P50" s="408">
        <v>566.28000000000009</v>
      </c>
      <c r="Q50" s="405" t="s">
        <v>15</v>
      </c>
      <c r="R50" s="405" t="s">
        <v>1652</v>
      </c>
      <c r="S50" s="336" t="s">
        <v>1639</v>
      </c>
      <c r="T50" s="403"/>
      <c r="U50" s="403"/>
      <c r="V50" s="403"/>
      <c r="W50" s="403"/>
      <c r="X50" s="403"/>
      <c r="Y50" s="403"/>
      <c r="Z50" s="408">
        <v>14392.01</v>
      </c>
    </row>
    <row r="51" spans="2:26" x14ac:dyDescent="0.3">
      <c r="B51" s="407" t="s">
        <v>802</v>
      </c>
      <c r="C51" s="404" t="s">
        <v>855</v>
      </c>
      <c r="D51" s="406">
        <v>14392.01</v>
      </c>
      <c r="E51" s="406">
        <v>566.28000000000009</v>
      </c>
      <c r="F51" s="404" t="s">
        <v>15</v>
      </c>
      <c r="G51" s="404" t="s">
        <v>1055</v>
      </c>
      <c r="H51" s="336" t="s">
        <v>1651</v>
      </c>
      <c r="I51" s="405" t="s">
        <v>866</v>
      </c>
      <c r="J51" s="336" t="s">
        <v>878</v>
      </c>
      <c r="K51" s="336" t="s">
        <v>1763</v>
      </c>
      <c r="L51" s="336" t="s">
        <v>1483</v>
      </c>
      <c r="M51" s="336" t="s">
        <v>802</v>
      </c>
      <c r="N51" s="336" t="s">
        <v>800</v>
      </c>
      <c r="O51" s="408">
        <v>14392.01</v>
      </c>
      <c r="P51" s="408">
        <v>566.28000000000009</v>
      </c>
      <c r="Q51" s="405" t="s">
        <v>15</v>
      </c>
      <c r="R51" s="405" t="s">
        <v>1652</v>
      </c>
      <c r="S51" s="336" t="s">
        <v>1639</v>
      </c>
      <c r="T51" s="403"/>
      <c r="U51" s="403"/>
      <c r="V51" s="403"/>
      <c r="W51" s="403"/>
      <c r="X51" s="403"/>
      <c r="Y51" s="408">
        <v>14392.01</v>
      </c>
      <c r="Z51" s="403"/>
    </row>
    <row r="52" spans="2:26" x14ac:dyDescent="0.3">
      <c r="B52" s="407" t="s">
        <v>802</v>
      </c>
      <c r="C52" s="404" t="s">
        <v>853</v>
      </c>
      <c r="D52" s="406">
        <v>-305.78999999999996</v>
      </c>
      <c r="E52" s="406">
        <v>0</v>
      </c>
      <c r="F52" s="404" t="s">
        <v>15</v>
      </c>
      <c r="G52" s="404" t="s">
        <v>1055</v>
      </c>
      <c r="H52" s="336" t="s">
        <v>1651</v>
      </c>
      <c r="I52" s="405" t="s">
        <v>866</v>
      </c>
      <c r="J52" s="336" t="s">
        <v>878</v>
      </c>
      <c r="K52" s="336" t="s">
        <v>1112</v>
      </c>
      <c r="L52" s="336" t="s">
        <v>1483</v>
      </c>
      <c r="M52" s="336" t="s">
        <v>830</v>
      </c>
      <c r="N52" s="336" t="s">
        <v>802</v>
      </c>
      <c r="O52" s="408">
        <v>305.78999999999996</v>
      </c>
      <c r="P52" s="408">
        <v>0</v>
      </c>
      <c r="Q52" s="405" t="s">
        <v>15</v>
      </c>
      <c r="R52" s="405" t="s">
        <v>1652</v>
      </c>
      <c r="S52" s="336" t="s">
        <v>1639</v>
      </c>
      <c r="T52" s="403"/>
      <c r="U52" s="403"/>
      <c r="V52" s="403"/>
      <c r="W52" s="403"/>
      <c r="X52" s="403"/>
      <c r="Y52" s="403"/>
      <c r="Z52" s="408">
        <v>305.78999999999996</v>
      </c>
    </row>
    <row r="53" spans="2:26" x14ac:dyDescent="0.3">
      <c r="B53" s="407" t="s">
        <v>830</v>
      </c>
      <c r="C53" s="404" t="s">
        <v>855</v>
      </c>
      <c r="D53" s="406">
        <v>305.78999999999996</v>
      </c>
      <c r="E53" s="406">
        <v>0</v>
      </c>
      <c r="F53" s="404" t="s">
        <v>15</v>
      </c>
      <c r="G53" s="404" t="s">
        <v>1055</v>
      </c>
      <c r="H53" s="336" t="s">
        <v>1651</v>
      </c>
      <c r="I53" s="405" t="s">
        <v>866</v>
      </c>
      <c r="J53" s="336" t="s">
        <v>878</v>
      </c>
      <c r="K53" s="336" t="s">
        <v>1112</v>
      </c>
      <c r="L53" s="336" t="s">
        <v>1483</v>
      </c>
      <c r="M53" s="336" t="s">
        <v>830</v>
      </c>
      <c r="N53" s="336" t="s">
        <v>802</v>
      </c>
      <c r="O53" s="408">
        <v>305.78999999999996</v>
      </c>
      <c r="P53" s="408">
        <v>0</v>
      </c>
      <c r="Q53" s="405" t="s">
        <v>15</v>
      </c>
      <c r="R53" s="405" t="s">
        <v>1652</v>
      </c>
      <c r="S53" s="336" t="s">
        <v>1639</v>
      </c>
      <c r="T53" s="403"/>
      <c r="U53" s="403"/>
      <c r="V53" s="403"/>
      <c r="W53" s="403"/>
      <c r="X53" s="403"/>
      <c r="Y53" s="408">
        <v>305.78999999999996</v>
      </c>
      <c r="Z53" s="403"/>
    </row>
    <row r="54" spans="2:26" x14ac:dyDescent="0.3">
      <c r="B54" s="407" t="s">
        <v>800</v>
      </c>
      <c r="C54" s="404" t="s">
        <v>853</v>
      </c>
      <c r="D54" s="406">
        <v>-6921.2</v>
      </c>
      <c r="E54" s="406">
        <v>-281.41999999999996</v>
      </c>
      <c r="F54" s="404" t="s">
        <v>15</v>
      </c>
      <c r="G54" s="404" t="s">
        <v>1055</v>
      </c>
      <c r="H54" s="336" t="s">
        <v>1654</v>
      </c>
      <c r="I54" s="405" t="s">
        <v>866</v>
      </c>
      <c r="J54" s="336" t="s">
        <v>879</v>
      </c>
      <c r="K54" s="336" t="s">
        <v>1764</v>
      </c>
      <c r="L54" s="336" t="s">
        <v>1483</v>
      </c>
      <c r="M54" s="336" t="s">
        <v>802</v>
      </c>
      <c r="N54" s="336" t="s">
        <v>800</v>
      </c>
      <c r="O54" s="408">
        <v>6921.2</v>
      </c>
      <c r="P54" s="408">
        <v>281.41999999999996</v>
      </c>
      <c r="Q54" s="405" t="s">
        <v>15</v>
      </c>
      <c r="R54" s="405" t="s">
        <v>1656</v>
      </c>
      <c r="S54" s="336" t="s">
        <v>1642</v>
      </c>
      <c r="T54" s="403"/>
      <c r="U54" s="403"/>
      <c r="V54" s="403"/>
      <c r="W54" s="403"/>
      <c r="X54" s="403"/>
      <c r="Y54" s="403"/>
      <c r="Z54" s="408">
        <v>6921.2</v>
      </c>
    </row>
    <row r="55" spans="2:26" x14ac:dyDescent="0.3">
      <c r="B55" s="407" t="s">
        <v>802</v>
      </c>
      <c r="C55" s="404" t="s">
        <v>855</v>
      </c>
      <c r="D55" s="406">
        <v>6921.2</v>
      </c>
      <c r="E55" s="406">
        <v>281.41999999999996</v>
      </c>
      <c r="F55" s="404" t="s">
        <v>15</v>
      </c>
      <c r="G55" s="404" t="s">
        <v>1055</v>
      </c>
      <c r="H55" s="336" t="s">
        <v>1654</v>
      </c>
      <c r="I55" s="405" t="s">
        <v>866</v>
      </c>
      <c r="J55" s="336" t="s">
        <v>879</v>
      </c>
      <c r="K55" s="336" t="s">
        <v>1764</v>
      </c>
      <c r="L55" s="336" t="s">
        <v>1483</v>
      </c>
      <c r="M55" s="336" t="s">
        <v>802</v>
      </c>
      <c r="N55" s="336" t="s">
        <v>800</v>
      </c>
      <c r="O55" s="408">
        <v>6921.2</v>
      </c>
      <c r="P55" s="408">
        <v>281.41999999999996</v>
      </c>
      <c r="Q55" s="405" t="s">
        <v>15</v>
      </c>
      <c r="R55" s="405" t="s">
        <v>1656</v>
      </c>
      <c r="S55" s="336" t="s">
        <v>1642</v>
      </c>
      <c r="T55" s="403"/>
      <c r="U55" s="403"/>
      <c r="V55" s="403"/>
      <c r="W55" s="403"/>
      <c r="X55" s="403"/>
      <c r="Y55" s="408">
        <v>6921.2</v>
      </c>
      <c r="Z55" s="403"/>
    </row>
    <row r="56" spans="2:26" x14ac:dyDescent="0.3">
      <c r="B56" s="407" t="s">
        <v>919</v>
      </c>
      <c r="C56" s="404" t="s">
        <v>853</v>
      </c>
      <c r="D56" s="406">
        <v>-40510.32</v>
      </c>
      <c r="E56" s="406">
        <v>0</v>
      </c>
      <c r="F56" s="403"/>
      <c r="G56" s="404" t="s">
        <v>1055</v>
      </c>
      <c r="H56" s="336" t="s">
        <v>1657</v>
      </c>
      <c r="I56" s="403"/>
      <c r="J56" s="336" t="s">
        <v>920</v>
      </c>
      <c r="K56" s="336" t="s">
        <v>921</v>
      </c>
      <c r="L56" s="403"/>
      <c r="M56" s="336" t="s">
        <v>917</v>
      </c>
      <c r="N56" s="336" t="s">
        <v>919</v>
      </c>
      <c r="O56" s="408">
        <v>40510.32</v>
      </c>
      <c r="P56" s="408">
        <v>0</v>
      </c>
      <c r="Q56" s="403"/>
      <c r="R56" s="403"/>
      <c r="S56" s="336" t="s">
        <v>858</v>
      </c>
      <c r="T56" s="403"/>
      <c r="U56" s="403"/>
      <c r="V56" s="403"/>
      <c r="W56" s="403"/>
      <c r="X56" s="403"/>
      <c r="Y56" s="403"/>
      <c r="Z56" s="408">
        <v>40510.32</v>
      </c>
    </row>
    <row r="57" spans="2:26" x14ac:dyDescent="0.3">
      <c r="B57" s="407" t="s">
        <v>917</v>
      </c>
      <c r="C57" s="404" t="s">
        <v>855</v>
      </c>
      <c r="D57" s="406">
        <v>40510.32</v>
      </c>
      <c r="E57" s="406">
        <v>0</v>
      </c>
      <c r="F57" s="403"/>
      <c r="G57" s="404" t="s">
        <v>1055</v>
      </c>
      <c r="H57" s="336" t="s">
        <v>1657</v>
      </c>
      <c r="I57" s="403"/>
      <c r="J57" s="336" t="s">
        <v>920</v>
      </c>
      <c r="K57" s="336" t="s">
        <v>921</v>
      </c>
      <c r="L57" s="403"/>
      <c r="M57" s="336" t="s">
        <v>917</v>
      </c>
      <c r="N57" s="336" t="s">
        <v>919</v>
      </c>
      <c r="O57" s="408">
        <v>40510.32</v>
      </c>
      <c r="P57" s="408">
        <v>0</v>
      </c>
      <c r="Q57" s="403"/>
      <c r="R57" s="403"/>
      <c r="S57" s="336" t="s">
        <v>858</v>
      </c>
      <c r="T57" s="403"/>
      <c r="U57" s="403"/>
      <c r="V57" s="403"/>
      <c r="W57" s="403"/>
      <c r="X57" s="403"/>
      <c r="Y57" s="408">
        <v>40510.32</v>
      </c>
      <c r="Z57" s="403"/>
    </row>
    <row r="58" spans="2:26" x14ac:dyDescent="0.3">
      <c r="B58" s="407" t="s">
        <v>918</v>
      </c>
      <c r="C58" s="404" t="s">
        <v>853</v>
      </c>
      <c r="D58" s="406">
        <v>-144250.37999999998</v>
      </c>
      <c r="E58" s="406">
        <v>0</v>
      </c>
      <c r="F58" s="403"/>
      <c r="G58" s="404" t="s">
        <v>1055</v>
      </c>
      <c r="H58" s="336" t="s">
        <v>1657</v>
      </c>
      <c r="I58" s="403"/>
      <c r="J58" s="336" t="s">
        <v>922</v>
      </c>
      <c r="K58" s="336" t="s">
        <v>923</v>
      </c>
      <c r="L58" s="336" t="s">
        <v>1525</v>
      </c>
      <c r="M58" s="336" t="s">
        <v>924</v>
      </c>
      <c r="N58" s="336" t="s">
        <v>918</v>
      </c>
      <c r="O58" s="408">
        <v>144250.37999999998</v>
      </c>
      <c r="P58" s="408">
        <v>0</v>
      </c>
      <c r="Q58" s="403"/>
      <c r="R58" s="403"/>
      <c r="S58" s="336" t="s">
        <v>864</v>
      </c>
      <c r="T58" s="403"/>
      <c r="U58" s="403"/>
      <c r="V58" s="403"/>
      <c r="W58" s="403"/>
      <c r="X58" s="403"/>
      <c r="Y58" s="403"/>
      <c r="Z58" s="408">
        <v>144250.37999999998</v>
      </c>
    </row>
    <row r="59" spans="2:26" x14ac:dyDescent="0.3">
      <c r="B59" s="407" t="s">
        <v>924</v>
      </c>
      <c r="C59" s="404" t="s">
        <v>855</v>
      </c>
      <c r="D59" s="406">
        <v>144250.37999999998</v>
      </c>
      <c r="E59" s="406">
        <v>0</v>
      </c>
      <c r="F59" s="403"/>
      <c r="G59" s="404" t="s">
        <v>1055</v>
      </c>
      <c r="H59" s="336" t="s">
        <v>1657</v>
      </c>
      <c r="I59" s="403"/>
      <c r="J59" s="336" t="s">
        <v>922</v>
      </c>
      <c r="K59" s="336" t="s">
        <v>923</v>
      </c>
      <c r="L59" s="336" t="s">
        <v>1525</v>
      </c>
      <c r="M59" s="336" t="s">
        <v>924</v>
      </c>
      <c r="N59" s="336" t="s">
        <v>918</v>
      </c>
      <c r="O59" s="408">
        <v>144250.37999999998</v>
      </c>
      <c r="P59" s="408">
        <v>0</v>
      </c>
      <c r="Q59" s="403"/>
      <c r="R59" s="403"/>
      <c r="S59" s="336" t="s">
        <v>864</v>
      </c>
      <c r="T59" s="403"/>
      <c r="U59" s="403"/>
      <c r="V59" s="403"/>
      <c r="W59" s="403"/>
      <c r="X59" s="403"/>
      <c r="Y59" s="408">
        <v>144250.37999999998</v>
      </c>
      <c r="Z59" s="403"/>
    </row>
    <row r="60" spans="2:26" x14ac:dyDescent="0.3">
      <c r="B60" s="407" t="s">
        <v>918</v>
      </c>
      <c r="C60" s="404" t="s">
        <v>853</v>
      </c>
      <c r="D60" s="406">
        <v>-793.65</v>
      </c>
      <c r="E60" s="406">
        <v>0</v>
      </c>
      <c r="F60" s="403"/>
      <c r="G60" s="404" t="s">
        <v>1055</v>
      </c>
      <c r="H60" s="336" t="s">
        <v>1657</v>
      </c>
      <c r="I60" s="403"/>
      <c r="J60" s="336" t="s">
        <v>925</v>
      </c>
      <c r="K60" s="336" t="s">
        <v>926</v>
      </c>
      <c r="L60" s="336" t="s">
        <v>1486</v>
      </c>
      <c r="M60" s="336" t="s">
        <v>824</v>
      </c>
      <c r="N60" s="336" t="s">
        <v>918</v>
      </c>
      <c r="O60" s="408">
        <v>793.65</v>
      </c>
      <c r="P60" s="408">
        <v>0</v>
      </c>
      <c r="Q60" s="403"/>
      <c r="R60" s="403"/>
      <c r="S60" s="336" t="s">
        <v>860</v>
      </c>
      <c r="T60" s="403"/>
      <c r="U60" s="403"/>
      <c r="V60" s="403"/>
      <c r="W60" s="403"/>
      <c r="X60" s="403"/>
      <c r="Y60" s="403"/>
      <c r="Z60" s="408">
        <v>793.65</v>
      </c>
    </row>
    <row r="61" spans="2:26" x14ac:dyDescent="0.3">
      <c r="B61" s="407" t="s">
        <v>824</v>
      </c>
      <c r="C61" s="404" t="s">
        <v>855</v>
      </c>
      <c r="D61" s="406">
        <v>793.65</v>
      </c>
      <c r="E61" s="406">
        <v>0</v>
      </c>
      <c r="F61" s="403"/>
      <c r="G61" s="404" t="s">
        <v>1055</v>
      </c>
      <c r="H61" s="336" t="s">
        <v>1657</v>
      </c>
      <c r="I61" s="403"/>
      <c r="J61" s="336" t="s">
        <v>925</v>
      </c>
      <c r="K61" s="336" t="s">
        <v>926</v>
      </c>
      <c r="L61" s="336" t="s">
        <v>1486</v>
      </c>
      <c r="M61" s="336" t="s">
        <v>824</v>
      </c>
      <c r="N61" s="336" t="s">
        <v>918</v>
      </c>
      <c r="O61" s="408">
        <v>793.65</v>
      </c>
      <c r="P61" s="408">
        <v>0</v>
      </c>
      <c r="Q61" s="403"/>
      <c r="R61" s="403"/>
      <c r="S61" s="336" t="s">
        <v>860</v>
      </c>
      <c r="T61" s="403"/>
      <c r="U61" s="403"/>
      <c r="V61" s="403"/>
      <c r="W61" s="403"/>
      <c r="X61" s="403"/>
      <c r="Y61" s="408">
        <v>793.65</v>
      </c>
      <c r="Z61" s="403"/>
    </row>
    <row r="62" spans="2:26" x14ac:dyDescent="0.3">
      <c r="B62" s="407" t="s">
        <v>918</v>
      </c>
      <c r="C62" s="404" t="s">
        <v>853</v>
      </c>
      <c r="D62" s="406">
        <v>-1414.54</v>
      </c>
      <c r="E62" s="406">
        <v>0</v>
      </c>
      <c r="F62" s="403"/>
      <c r="G62" s="404" t="s">
        <v>1055</v>
      </c>
      <c r="H62" s="336" t="s">
        <v>1657</v>
      </c>
      <c r="I62" s="403"/>
      <c r="J62" s="336" t="s">
        <v>927</v>
      </c>
      <c r="K62" s="336" t="s">
        <v>928</v>
      </c>
      <c r="L62" s="336" t="s">
        <v>1526</v>
      </c>
      <c r="M62" s="336" t="s">
        <v>824</v>
      </c>
      <c r="N62" s="336" t="s">
        <v>918</v>
      </c>
      <c r="O62" s="408">
        <v>1414.54</v>
      </c>
      <c r="P62" s="408">
        <v>0</v>
      </c>
      <c r="Q62" s="403"/>
      <c r="R62" s="403"/>
      <c r="S62" s="336" t="s">
        <v>862</v>
      </c>
      <c r="T62" s="403"/>
      <c r="U62" s="403"/>
      <c r="V62" s="403"/>
      <c r="W62" s="403"/>
      <c r="X62" s="403"/>
      <c r="Y62" s="403"/>
      <c r="Z62" s="408">
        <v>1414.54</v>
      </c>
    </row>
    <row r="63" spans="2:26" x14ac:dyDescent="0.3">
      <c r="B63" s="407" t="s">
        <v>824</v>
      </c>
      <c r="C63" s="404" t="s">
        <v>855</v>
      </c>
      <c r="D63" s="406">
        <v>1414.54</v>
      </c>
      <c r="E63" s="406">
        <v>0</v>
      </c>
      <c r="F63" s="403"/>
      <c r="G63" s="404" t="s">
        <v>1055</v>
      </c>
      <c r="H63" s="336" t="s">
        <v>1657</v>
      </c>
      <c r="I63" s="403"/>
      <c r="J63" s="336" t="s">
        <v>927</v>
      </c>
      <c r="K63" s="336" t="s">
        <v>928</v>
      </c>
      <c r="L63" s="336" t="s">
        <v>1526</v>
      </c>
      <c r="M63" s="336" t="s">
        <v>824</v>
      </c>
      <c r="N63" s="336" t="s">
        <v>918</v>
      </c>
      <c r="O63" s="408">
        <v>1414.54</v>
      </c>
      <c r="P63" s="408">
        <v>0</v>
      </c>
      <c r="Q63" s="403"/>
      <c r="R63" s="403"/>
      <c r="S63" s="336" t="s">
        <v>862</v>
      </c>
      <c r="T63" s="403"/>
      <c r="U63" s="403"/>
      <c r="V63" s="403"/>
      <c r="W63" s="403"/>
      <c r="X63" s="403"/>
      <c r="Y63" s="408">
        <v>1414.54</v>
      </c>
      <c r="Z63" s="403"/>
    </row>
    <row r="64" spans="2:26" x14ac:dyDescent="0.3">
      <c r="B64" s="407" t="s">
        <v>802</v>
      </c>
      <c r="C64" s="404" t="s">
        <v>853</v>
      </c>
      <c r="D64" s="406">
        <v>-6921.2</v>
      </c>
      <c r="E64" s="406">
        <v>0</v>
      </c>
      <c r="F64" s="403"/>
      <c r="G64" s="404" t="s">
        <v>1055</v>
      </c>
      <c r="H64" s="336" t="s">
        <v>1657</v>
      </c>
      <c r="I64" s="405" t="s">
        <v>856</v>
      </c>
      <c r="J64" s="336" t="s">
        <v>1658</v>
      </c>
      <c r="K64" s="336" t="s">
        <v>1765</v>
      </c>
      <c r="L64" s="336" t="s">
        <v>1483</v>
      </c>
      <c r="M64" s="336" t="s">
        <v>826</v>
      </c>
      <c r="N64" s="336" t="s">
        <v>802</v>
      </c>
      <c r="O64" s="408">
        <v>6921.2</v>
      </c>
      <c r="P64" s="408">
        <v>0</v>
      </c>
      <c r="Q64" s="403"/>
      <c r="R64" s="403"/>
      <c r="S64" s="336" t="s">
        <v>1766</v>
      </c>
      <c r="T64" s="403"/>
      <c r="U64" s="403"/>
      <c r="V64" s="403"/>
      <c r="W64" s="403"/>
      <c r="X64" s="403"/>
      <c r="Y64" s="403"/>
      <c r="Z64" s="408">
        <v>6921.2</v>
      </c>
    </row>
    <row r="65" spans="2:26" x14ac:dyDescent="0.3">
      <c r="B65" s="407" t="s">
        <v>826</v>
      </c>
      <c r="C65" s="404" t="s">
        <v>855</v>
      </c>
      <c r="D65" s="406">
        <v>6921.2</v>
      </c>
      <c r="E65" s="406">
        <v>0</v>
      </c>
      <c r="F65" s="403"/>
      <c r="G65" s="404" t="s">
        <v>1055</v>
      </c>
      <c r="H65" s="336" t="s">
        <v>1657</v>
      </c>
      <c r="I65" s="405" t="s">
        <v>856</v>
      </c>
      <c r="J65" s="336" t="s">
        <v>1658</v>
      </c>
      <c r="K65" s="336" t="s">
        <v>1765</v>
      </c>
      <c r="L65" s="336" t="s">
        <v>1483</v>
      </c>
      <c r="M65" s="336" t="s">
        <v>826</v>
      </c>
      <c r="N65" s="336" t="s">
        <v>802</v>
      </c>
      <c r="O65" s="408">
        <v>6921.2</v>
      </c>
      <c r="P65" s="408">
        <v>0</v>
      </c>
      <c r="Q65" s="403"/>
      <c r="R65" s="403"/>
      <c r="S65" s="336" t="s">
        <v>1766</v>
      </c>
      <c r="T65" s="403"/>
      <c r="U65" s="403"/>
      <c r="V65" s="403"/>
      <c r="W65" s="403"/>
      <c r="X65" s="403"/>
      <c r="Y65" s="408">
        <v>6921.2</v>
      </c>
      <c r="Z65" s="403"/>
    </row>
    <row r="66" spans="2:26" x14ac:dyDescent="0.3">
      <c r="B66" s="407" t="s">
        <v>834</v>
      </c>
      <c r="C66" s="404" t="s">
        <v>853</v>
      </c>
      <c r="D66" s="406">
        <v>-2801411.42</v>
      </c>
      <c r="E66" s="406">
        <v>-110465.75</v>
      </c>
      <c r="F66" s="404" t="s">
        <v>15</v>
      </c>
      <c r="G66" s="404" t="s">
        <v>1055</v>
      </c>
      <c r="H66" s="336" t="s">
        <v>1657</v>
      </c>
      <c r="I66" s="405" t="s">
        <v>865</v>
      </c>
      <c r="J66" s="336" t="s">
        <v>1661</v>
      </c>
      <c r="K66" s="336" t="s">
        <v>1662</v>
      </c>
      <c r="L66" s="403"/>
      <c r="M66" s="336" t="s">
        <v>772</v>
      </c>
      <c r="N66" s="336" t="s">
        <v>834</v>
      </c>
      <c r="O66" s="408">
        <v>2801411.42</v>
      </c>
      <c r="P66" s="408">
        <v>110465.75</v>
      </c>
      <c r="Q66" s="405" t="s">
        <v>15</v>
      </c>
      <c r="R66" s="405" t="s">
        <v>1663</v>
      </c>
      <c r="S66" s="336" t="s">
        <v>1518</v>
      </c>
      <c r="T66" s="403"/>
      <c r="U66" s="403"/>
      <c r="V66" s="403"/>
      <c r="W66" s="403"/>
      <c r="X66" s="403"/>
      <c r="Y66" s="403"/>
      <c r="Z66" s="408">
        <v>2801411.42</v>
      </c>
    </row>
    <row r="67" spans="2:26" x14ac:dyDescent="0.3">
      <c r="B67" s="407" t="s">
        <v>772</v>
      </c>
      <c r="C67" s="404" t="s">
        <v>855</v>
      </c>
      <c r="D67" s="406">
        <v>2801411.42</v>
      </c>
      <c r="E67" s="406">
        <v>110465.75</v>
      </c>
      <c r="F67" s="404" t="s">
        <v>15</v>
      </c>
      <c r="G67" s="404" t="s">
        <v>1055</v>
      </c>
      <c r="H67" s="336" t="s">
        <v>1657</v>
      </c>
      <c r="I67" s="405" t="s">
        <v>865</v>
      </c>
      <c r="J67" s="336" t="s">
        <v>1661</v>
      </c>
      <c r="K67" s="336" t="s">
        <v>1662</v>
      </c>
      <c r="L67" s="403"/>
      <c r="M67" s="336" t="s">
        <v>772</v>
      </c>
      <c r="N67" s="336" t="s">
        <v>834</v>
      </c>
      <c r="O67" s="408">
        <v>2801411.42</v>
      </c>
      <c r="P67" s="408">
        <v>110465.75</v>
      </c>
      <c r="Q67" s="405" t="s">
        <v>15</v>
      </c>
      <c r="R67" s="405" t="s">
        <v>1663</v>
      </c>
      <c r="S67" s="336" t="s">
        <v>1518</v>
      </c>
      <c r="T67" s="403"/>
      <c r="U67" s="403"/>
      <c r="V67" s="403"/>
      <c r="W67" s="403"/>
      <c r="X67" s="403"/>
      <c r="Y67" s="408">
        <v>2801411.42</v>
      </c>
      <c r="Z67" s="403"/>
    </row>
    <row r="68" spans="2:26" x14ac:dyDescent="0.3">
      <c r="B68" s="407" t="s">
        <v>818</v>
      </c>
      <c r="C68" s="404" t="s">
        <v>853</v>
      </c>
      <c r="D68" s="406">
        <v>-2853000</v>
      </c>
      <c r="E68" s="406">
        <v>-112500</v>
      </c>
      <c r="F68" s="404" t="s">
        <v>15</v>
      </c>
      <c r="G68" s="404" t="s">
        <v>1055</v>
      </c>
      <c r="H68" s="336" t="s">
        <v>1657</v>
      </c>
      <c r="I68" s="405" t="s">
        <v>865</v>
      </c>
      <c r="J68" s="336" t="s">
        <v>1664</v>
      </c>
      <c r="K68" s="336" t="s">
        <v>1665</v>
      </c>
      <c r="L68" s="403"/>
      <c r="M68" s="336" t="s">
        <v>828</v>
      </c>
      <c r="N68" s="336" t="s">
        <v>818</v>
      </c>
      <c r="O68" s="408">
        <v>2853000</v>
      </c>
      <c r="P68" s="408">
        <v>112500</v>
      </c>
      <c r="Q68" s="405" t="s">
        <v>15</v>
      </c>
      <c r="R68" s="405" t="s">
        <v>1663</v>
      </c>
      <c r="S68" s="336" t="s">
        <v>1517</v>
      </c>
      <c r="T68" s="403"/>
      <c r="U68" s="403"/>
      <c r="V68" s="403"/>
      <c r="W68" s="403"/>
      <c r="X68" s="403"/>
      <c r="Y68" s="403"/>
      <c r="Z68" s="408">
        <v>2853000</v>
      </c>
    </row>
    <row r="69" spans="2:26" x14ac:dyDescent="0.3">
      <c r="B69" s="407" t="s">
        <v>828</v>
      </c>
      <c r="C69" s="404" t="s">
        <v>855</v>
      </c>
      <c r="D69" s="406">
        <v>2853000</v>
      </c>
      <c r="E69" s="406">
        <v>112500</v>
      </c>
      <c r="F69" s="404" t="s">
        <v>15</v>
      </c>
      <c r="G69" s="404" t="s">
        <v>1055</v>
      </c>
      <c r="H69" s="336" t="s">
        <v>1657</v>
      </c>
      <c r="I69" s="405" t="s">
        <v>865</v>
      </c>
      <c r="J69" s="336" t="s">
        <v>1664</v>
      </c>
      <c r="K69" s="336" t="s">
        <v>1665</v>
      </c>
      <c r="L69" s="403"/>
      <c r="M69" s="336" t="s">
        <v>828</v>
      </c>
      <c r="N69" s="336" t="s">
        <v>818</v>
      </c>
      <c r="O69" s="408">
        <v>2853000</v>
      </c>
      <c r="P69" s="408">
        <v>112500</v>
      </c>
      <c r="Q69" s="405" t="s">
        <v>15</v>
      </c>
      <c r="R69" s="405" t="s">
        <v>1663</v>
      </c>
      <c r="S69" s="336" t="s">
        <v>1517</v>
      </c>
      <c r="T69" s="403"/>
      <c r="U69" s="403"/>
      <c r="V69" s="403"/>
      <c r="W69" s="403"/>
      <c r="X69" s="403"/>
      <c r="Y69" s="408">
        <v>2853000</v>
      </c>
      <c r="Z69" s="403"/>
    </row>
    <row r="70" spans="2:26" x14ac:dyDescent="0.3">
      <c r="B70" s="407" t="s">
        <v>800</v>
      </c>
      <c r="C70" s="404" t="s">
        <v>853</v>
      </c>
      <c r="D70" s="406">
        <v>-11.92</v>
      </c>
      <c r="E70" s="406">
        <v>-0.47000000000000003</v>
      </c>
      <c r="F70" s="404" t="s">
        <v>15</v>
      </c>
      <c r="G70" s="404" t="s">
        <v>1055</v>
      </c>
      <c r="H70" s="336" t="s">
        <v>1657</v>
      </c>
      <c r="I70" s="405" t="s">
        <v>866</v>
      </c>
      <c r="J70" s="336" t="s">
        <v>880</v>
      </c>
      <c r="K70" s="336" t="s">
        <v>869</v>
      </c>
      <c r="L70" s="403"/>
      <c r="M70" s="336" t="s">
        <v>832</v>
      </c>
      <c r="N70" s="336" t="s">
        <v>800</v>
      </c>
      <c r="O70" s="408">
        <v>11.92</v>
      </c>
      <c r="P70" s="408">
        <v>0.47000000000000003</v>
      </c>
      <c r="Q70" s="405" t="s">
        <v>15</v>
      </c>
      <c r="R70" s="405" t="s">
        <v>1663</v>
      </c>
      <c r="S70" s="403"/>
      <c r="T70" s="403"/>
      <c r="U70" s="403"/>
      <c r="V70" s="403"/>
      <c r="W70" s="403"/>
      <c r="X70" s="403"/>
      <c r="Y70" s="403"/>
      <c r="Z70" s="408">
        <v>11.92</v>
      </c>
    </row>
    <row r="71" spans="2:26" x14ac:dyDescent="0.3">
      <c r="B71" s="407" t="s">
        <v>832</v>
      </c>
      <c r="C71" s="404" t="s">
        <v>855</v>
      </c>
      <c r="D71" s="406">
        <v>11.92</v>
      </c>
      <c r="E71" s="406">
        <v>0.47000000000000003</v>
      </c>
      <c r="F71" s="404" t="s">
        <v>15</v>
      </c>
      <c r="G71" s="404" t="s">
        <v>1055</v>
      </c>
      <c r="H71" s="336" t="s">
        <v>1657</v>
      </c>
      <c r="I71" s="405" t="s">
        <v>866</v>
      </c>
      <c r="J71" s="336" t="s">
        <v>880</v>
      </c>
      <c r="K71" s="336" t="s">
        <v>869</v>
      </c>
      <c r="L71" s="403"/>
      <c r="M71" s="336" t="s">
        <v>832</v>
      </c>
      <c r="N71" s="336" t="s">
        <v>800</v>
      </c>
      <c r="O71" s="408">
        <v>11.92</v>
      </c>
      <c r="P71" s="408">
        <v>0.47000000000000003</v>
      </c>
      <c r="Q71" s="405" t="s">
        <v>15</v>
      </c>
      <c r="R71" s="405" t="s">
        <v>1663</v>
      </c>
      <c r="S71" s="403"/>
      <c r="T71" s="403"/>
      <c r="U71" s="403"/>
      <c r="V71" s="403"/>
      <c r="W71" s="403"/>
      <c r="X71" s="403"/>
      <c r="Y71" s="408">
        <v>11.92</v>
      </c>
      <c r="Z71" s="403"/>
    </row>
    <row r="72" spans="2:26" x14ac:dyDescent="0.3">
      <c r="B72" s="407" t="s">
        <v>800</v>
      </c>
      <c r="C72" s="404" t="s">
        <v>853</v>
      </c>
      <c r="D72" s="406">
        <v>-29.919999999999998</v>
      </c>
      <c r="E72" s="406">
        <v>-1.1800000000000002</v>
      </c>
      <c r="F72" s="404" t="s">
        <v>15</v>
      </c>
      <c r="G72" s="404" t="s">
        <v>1055</v>
      </c>
      <c r="H72" s="336" t="s">
        <v>1657</v>
      </c>
      <c r="I72" s="405" t="s">
        <v>866</v>
      </c>
      <c r="J72" s="336" t="s">
        <v>882</v>
      </c>
      <c r="K72" s="336" t="s">
        <v>869</v>
      </c>
      <c r="L72" s="403"/>
      <c r="M72" s="336" t="s">
        <v>832</v>
      </c>
      <c r="N72" s="336" t="s">
        <v>800</v>
      </c>
      <c r="O72" s="408">
        <v>29.919999999999998</v>
      </c>
      <c r="P72" s="408">
        <v>1.1800000000000002</v>
      </c>
      <c r="Q72" s="405" t="s">
        <v>15</v>
      </c>
      <c r="R72" s="405" t="s">
        <v>1663</v>
      </c>
      <c r="S72" s="403"/>
      <c r="T72" s="403"/>
      <c r="U72" s="403"/>
      <c r="V72" s="403"/>
      <c r="W72" s="403"/>
      <c r="X72" s="403"/>
      <c r="Y72" s="403"/>
      <c r="Z72" s="408">
        <v>29.919999999999998</v>
      </c>
    </row>
    <row r="73" spans="2:26" x14ac:dyDescent="0.3">
      <c r="B73" s="407" t="s">
        <v>832</v>
      </c>
      <c r="C73" s="404" t="s">
        <v>855</v>
      </c>
      <c r="D73" s="406">
        <v>29.919999999999998</v>
      </c>
      <c r="E73" s="406">
        <v>1.1800000000000002</v>
      </c>
      <c r="F73" s="404" t="s">
        <v>15</v>
      </c>
      <c r="G73" s="404" t="s">
        <v>1055</v>
      </c>
      <c r="H73" s="336" t="s">
        <v>1657</v>
      </c>
      <c r="I73" s="405" t="s">
        <v>866</v>
      </c>
      <c r="J73" s="336" t="s">
        <v>882</v>
      </c>
      <c r="K73" s="336" t="s">
        <v>869</v>
      </c>
      <c r="L73" s="403"/>
      <c r="M73" s="336" t="s">
        <v>832</v>
      </c>
      <c r="N73" s="336" t="s">
        <v>800</v>
      </c>
      <c r="O73" s="408">
        <v>29.919999999999998</v>
      </c>
      <c r="P73" s="408">
        <v>1.1800000000000002</v>
      </c>
      <c r="Q73" s="405" t="s">
        <v>15</v>
      </c>
      <c r="R73" s="405" t="s">
        <v>1663</v>
      </c>
      <c r="S73" s="403"/>
      <c r="T73" s="403"/>
      <c r="U73" s="403"/>
      <c r="V73" s="403"/>
      <c r="W73" s="403"/>
      <c r="X73" s="403"/>
      <c r="Y73" s="408">
        <v>29.919999999999998</v>
      </c>
      <c r="Z73" s="403"/>
    </row>
    <row r="74" spans="2:26" x14ac:dyDescent="0.3">
      <c r="B74" s="407" t="s">
        <v>800</v>
      </c>
      <c r="C74" s="404" t="s">
        <v>853</v>
      </c>
      <c r="D74" s="406">
        <v>-195.26999999999998</v>
      </c>
      <c r="E74" s="406">
        <v>-7.7</v>
      </c>
      <c r="F74" s="404" t="s">
        <v>15</v>
      </c>
      <c r="G74" s="404" t="s">
        <v>1055</v>
      </c>
      <c r="H74" s="336" t="s">
        <v>1657</v>
      </c>
      <c r="I74" s="405" t="s">
        <v>866</v>
      </c>
      <c r="J74" s="336" t="s">
        <v>883</v>
      </c>
      <c r="K74" s="336" t="s">
        <v>869</v>
      </c>
      <c r="L74" s="403"/>
      <c r="M74" s="336" t="s">
        <v>832</v>
      </c>
      <c r="N74" s="336" t="s">
        <v>800</v>
      </c>
      <c r="O74" s="408">
        <v>195.26999999999998</v>
      </c>
      <c r="P74" s="408">
        <v>7.7</v>
      </c>
      <c r="Q74" s="405" t="s">
        <v>15</v>
      </c>
      <c r="R74" s="405" t="s">
        <v>1663</v>
      </c>
      <c r="S74" s="403"/>
      <c r="T74" s="403"/>
      <c r="U74" s="403"/>
      <c r="V74" s="403"/>
      <c r="W74" s="403"/>
      <c r="X74" s="403"/>
      <c r="Y74" s="403"/>
      <c r="Z74" s="408">
        <v>195.26999999999998</v>
      </c>
    </row>
    <row r="75" spans="2:26" x14ac:dyDescent="0.3">
      <c r="B75" s="407" t="s">
        <v>832</v>
      </c>
      <c r="C75" s="404" t="s">
        <v>855</v>
      </c>
      <c r="D75" s="406">
        <v>195.26999999999998</v>
      </c>
      <c r="E75" s="406">
        <v>7.7</v>
      </c>
      <c r="F75" s="404" t="s">
        <v>15</v>
      </c>
      <c r="G75" s="404" t="s">
        <v>1055</v>
      </c>
      <c r="H75" s="336" t="s">
        <v>1657</v>
      </c>
      <c r="I75" s="405" t="s">
        <v>866</v>
      </c>
      <c r="J75" s="336" t="s">
        <v>883</v>
      </c>
      <c r="K75" s="336" t="s">
        <v>869</v>
      </c>
      <c r="L75" s="403"/>
      <c r="M75" s="336" t="s">
        <v>832</v>
      </c>
      <c r="N75" s="336" t="s">
        <v>800</v>
      </c>
      <c r="O75" s="408">
        <v>195.26999999999998</v>
      </c>
      <c r="P75" s="408">
        <v>7.7</v>
      </c>
      <c r="Q75" s="405" t="s">
        <v>15</v>
      </c>
      <c r="R75" s="405" t="s">
        <v>1663</v>
      </c>
      <c r="S75" s="403"/>
      <c r="T75" s="403"/>
      <c r="U75" s="403"/>
      <c r="V75" s="403"/>
      <c r="W75" s="403"/>
      <c r="X75" s="403"/>
      <c r="Y75" s="408">
        <v>195.26999999999998</v>
      </c>
      <c r="Z75" s="403"/>
    </row>
    <row r="76" spans="2:26" x14ac:dyDescent="0.3">
      <c r="B76" s="407" t="s">
        <v>800</v>
      </c>
      <c r="C76" s="404" t="s">
        <v>853</v>
      </c>
      <c r="D76" s="406">
        <v>-320.55</v>
      </c>
      <c r="E76" s="406">
        <v>-12.639999999999999</v>
      </c>
      <c r="F76" s="404" t="s">
        <v>15</v>
      </c>
      <c r="G76" s="404" t="s">
        <v>1055</v>
      </c>
      <c r="H76" s="336" t="s">
        <v>1657</v>
      </c>
      <c r="I76" s="405" t="s">
        <v>866</v>
      </c>
      <c r="J76" s="336" t="s">
        <v>884</v>
      </c>
      <c r="K76" s="336" t="s">
        <v>869</v>
      </c>
      <c r="L76" s="403"/>
      <c r="M76" s="336" t="s">
        <v>832</v>
      </c>
      <c r="N76" s="336" t="s">
        <v>800</v>
      </c>
      <c r="O76" s="408">
        <v>320.55</v>
      </c>
      <c r="P76" s="408">
        <v>12.639999999999999</v>
      </c>
      <c r="Q76" s="405" t="s">
        <v>15</v>
      </c>
      <c r="R76" s="405" t="s">
        <v>1663</v>
      </c>
      <c r="S76" s="403"/>
      <c r="T76" s="403"/>
      <c r="U76" s="403"/>
      <c r="V76" s="403"/>
      <c r="W76" s="403"/>
      <c r="X76" s="403"/>
      <c r="Y76" s="403"/>
      <c r="Z76" s="408">
        <v>320.55</v>
      </c>
    </row>
    <row r="77" spans="2:26" x14ac:dyDescent="0.3">
      <c r="B77" s="407" t="s">
        <v>832</v>
      </c>
      <c r="C77" s="404" t="s">
        <v>855</v>
      </c>
      <c r="D77" s="406">
        <v>320.55</v>
      </c>
      <c r="E77" s="406">
        <v>12.639999999999999</v>
      </c>
      <c r="F77" s="404" t="s">
        <v>15</v>
      </c>
      <c r="G77" s="404" t="s">
        <v>1055</v>
      </c>
      <c r="H77" s="336" t="s">
        <v>1657</v>
      </c>
      <c r="I77" s="405" t="s">
        <v>866</v>
      </c>
      <c r="J77" s="336" t="s">
        <v>884</v>
      </c>
      <c r="K77" s="336" t="s">
        <v>869</v>
      </c>
      <c r="L77" s="403"/>
      <c r="M77" s="336" t="s">
        <v>832</v>
      </c>
      <c r="N77" s="336" t="s">
        <v>800</v>
      </c>
      <c r="O77" s="408">
        <v>320.55</v>
      </c>
      <c r="P77" s="408">
        <v>12.639999999999999</v>
      </c>
      <c r="Q77" s="405" t="s">
        <v>15</v>
      </c>
      <c r="R77" s="405" t="s">
        <v>1663</v>
      </c>
      <c r="S77" s="403"/>
      <c r="T77" s="403"/>
      <c r="U77" s="403"/>
      <c r="V77" s="403"/>
      <c r="W77" s="403"/>
      <c r="X77" s="403"/>
      <c r="Y77" s="408">
        <v>320.55</v>
      </c>
      <c r="Z77" s="403"/>
    </row>
    <row r="78" spans="2:26" x14ac:dyDescent="0.3">
      <c r="B78" s="407" t="s">
        <v>800</v>
      </c>
      <c r="C78" s="404" t="s">
        <v>853</v>
      </c>
      <c r="D78" s="406">
        <v>-68199.97</v>
      </c>
      <c r="E78" s="406">
        <v>-2779.52</v>
      </c>
      <c r="F78" s="404" t="s">
        <v>15</v>
      </c>
      <c r="G78" s="404" t="s">
        <v>1067</v>
      </c>
      <c r="H78" s="336" t="s">
        <v>1666</v>
      </c>
      <c r="I78" s="405" t="s">
        <v>866</v>
      </c>
      <c r="J78" s="336" t="s">
        <v>1069</v>
      </c>
      <c r="K78" s="336" t="s">
        <v>1767</v>
      </c>
      <c r="L78" s="403"/>
      <c r="M78" s="336" t="s">
        <v>1009</v>
      </c>
      <c r="N78" s="336" t="s">
        <v>800</v>
      </c>
      <c r="O78" s="408">
        <v>68199.97</v>
      </c>
      <c r="P78" s="408">
        <v>2779.52</v>
      </c>
      <c r="Q78" s="405" t="s">
        <v>15</v>
      </c>
      <c r="R78" s="405" t="s">
        <v>1768</v>
      </c>
      <c r="S78" s="336" t="s">
        <v>1074</v>
      </c>
      <c r="T78" s="403"/>
      <c r="U78" s="403"/>
      <c r="V78" s="403"/>
      <c r="W78" s="403"/>
      <c r="X78" s="403"/>
      <c r="Y78" s="403"/>
      <c r="Z78" s="408">
        <v>68199.97</v>
      </c>
    </row>
    <row r="79" spans="2:26" x14ac:dyDescent="0.3">
      <c r="B79" s="407" t="s">
        <v>1009</v>
      </c>
      <c r="C79" s="404" t="s">
        <v>855</v>
      </c>
      <c r="D79" s="406">
        <v>68199.97</v>
      </c>
      <c r="E79" s="406">
        <v>2779.52</v>
      </c>
      <c r="F79" s="404" t="s">
        <v>15</v>
      </c>
      <c r="G79" s="404" t="s">
        <v>1067</v>
      </c>
      <c r="H79" s="336" t="s">
        <v>1666</v>
      </c>
      <c r="I79" s="405" t="s">
        <v>866</v>
      </c>
      <c r="J79" s="336" t="s">
        <v>1069</v>
      </c>
      <c r="K79" s="336" t="s">
        <v>1767</v>
      </c>
      <c r="L79" s="403"/>
      <c r="M79" s="336" t="s">
        <v>1009</v>
      </c>
      <c r="N79" s="336" t="s">
        <v>800</v>
      </c>
      <c r="O79" s="408">
        <v>68199.97</v>
      </c>
      <c r="P79" s="408">
        <v>2779.52</v>
      </c>
      <c r="Q79" s="405" t="s">
        <v>15</v>
      </c>
      <c r="R79" s="405" t="s">
        <v>1768</v>
      </c>
      <c r="S79" s="336" t="s">
        <v>1074</v>
      </c>
      <c r="T79" s="403"/>
      <c r="U79" s="403"/>
      <c r="V79" s="403"/>
      <c r="W79" s="403"/>
      <c r="X79" s="403"/>
      <c r="Y79" s="408">
        <v>68199.97</v>
      </c>
      <c r="Z79" s="403"/>
    </row>
    <row r="80" spans="2:26" x14ac:dyDescent="0.3">
      <c r="B80" s="407" t="s">
        <v>800</v>
      </c>
      <c r="C80" s="404" t="s">
        <v>853</v>
      </c>
      <c r="D80" s="406">
        <v>-6921.2</v>
      </c>
      <c r="E80" s="406">
        <v>-283.76</v>
      </c>
      <c r="F80" s="404" t="s">
        <v>15</v>
      </c>
      <c r="G80" s="404" t="s">
        <v>1067</v>
      </c>
      <c r="H80" s="336" t="s">
        <v>1669</v>
      </c>
      <c r="I80" s="405" t="s">
        <v>866</v>
      </c>
      <c r="J80" s="336" t="s">
        <v>1071</v>
      </c>
      <c r="K80" s="336" t="s">
        <v>1769</v>
      </c>
      <c r="L80" s="336" t="s">
        <v>1483</v>
      </c>
      <c r="M80" s="336" t="s">
        <v>802</v>
      </c>
      <c r="N80" s="336" t="s">
        <v>800</v>
      </c>
      <c r="O80" s="408">
        <v>6921.2</v>
      </c>
      <c r="P80" s="408">
        <v>283.76</v>
      </c>
      <c r="Q80" s="405" t="s">
        <v>15</v>
      </c>
      <c r="R80" s="405" t="s">
        <v>1671</v>
      </c>
      <c r="S80" s="336" t="s">
        <v>1766</v>
      </c>
      <c r="T80" s="403"/>
      <c r="U80" s="403"/>
      <c r="V80" s="403"/>
      <c r="W80" s="403"/>
      <c r="X80" s="403"/>
      <c r="Y80" s="403"/>
      <c r="Z80" s="408">
        <v>6921.2</v>
      </c>
    </row>
    <row r="81" spans="2:26" x14ac:dyDescent="0.3">
      <c r="B81" s="407" t="s">
        <v>802</v>
      </c>
      <c r="C81" s="404" t="s">
        <v>855</v>
      </c>
      <c r="D81" s="406">
        <v>6921.2</v>
      </c>
      <c r="E81" s="406">
        <v>283.76</v>
      </c>
      <c r="F81" s="404" t="s">
        <v>15</v>
      </c>
      <c r="G81" s="404" t="s">
        <v>1067</v>
      </c>
      <c r="H81" s="336" t="s">
        <v>1669</v>
      </c>
      <c r="I81" s="405" t="s">
        <v>866</v>
      </c>
      <c r="J81" s="336" t="s">
        <v>1071</v>
      </c>
      <c r="K81" s="336" t="s">
        <v>1769</v>
      </c>
      <c r="L81" s="336" t="s">
        <v>1483</v>
      </c>
      <c r="M81" s="336" t="s">
        <v>802</v>
      </c>
      <c r="N81" s="336" t="s">
        <v>800</v>
      </c>
      <c r="O81" s="408">
        <v>6921.2</v>
      </c>
      <c r="P81" s="408">
        <v>283.76</v>
      </c>
      <c r="Q81" s="405" t="s">
        <v>15</v>
      </c>
      <c r="R81" s="405" t="s">
        <v>1671</v>
      </c>
      <c r="S81" s="336" t="s">
        <v>1766</v>
      </c>
      <c r="T81" s="403"/>
      <c r="U81" s="403"/>
      <c r="V81" s="403"/>
      <c r="W81" s="403"/>
      <c r="X81" s="403"/>
      <c r="Y81" s="408">
        <v>6921.2</v>
      </c>
      <c r="Z81" s="403"/>
    </row>
    <row r="82" spans="2:26" x14ac:dyDescent="0.3">
      <c r="B82" s="407" t="s">
        <v>802</v>
      </c>
      <c r="C82" s="404" t="s">
        <v>853</v>
      </c>
      <c r="D82" s="406">
        <v>-301299.08</v>
      </c>
      <c r="E82" s="406">
        <v>0</v>
      </c>
      <c r="F82" s="403"/>
      <c r="G82" s="404" t="s">
        <v>1067</v>
      </c>
      <c r="H82" s="336" t="s">
        <v>1672</v>
      </c>
      <c r="I82" s="405" t="s">
        <v>856</v>
      </c>
      <c r="J82" s="336" t="s">
        <v>1673</v>
      </c>
      <c r="K82" s="336" t="s">
        <v>1583</v>
      </c>
      <c r="L82" s="336" t="s">
        <v>1482</v>
      </c>
      <c r="M82" s="336" t="s">
        <v>1000</v>
      </c>
      <c r="N82" s="336" t="s">
        <v>802</v>
      </c>
      <c r="O82" s="408">
        <v>301299.08</v>
      </c>
      <c r="P82" s="408">
        <v>0</v>
      </c>
      <c r="Q82" s="403"/>
      <c r="R82" s="403"/>
      <c r="S82" s="336" t="s">
        <v>1674</v>
      </c>
      <c r="T82" s="403"/>
      <c r="U82" s="403"/>
      <c r="V82" s="403"/>
      <c r="W82" s="403"/>
      <c r="X82" s="403"/>
      <c r="Y82" s="403"/>
      <c r="Z82" s="408">
        <v>301299.08</v>
      </c>
    </row>
    <row r="83" spans="2:26" x14ac:dyDescent="0.3">
      <c r="B83" s="407" t="s">
        <v>1000</v>
      </c>
      <c r="C83" s="404" t="s">
        <v>855</v>
      </c>
      <c r="D83" s="406">
        <v>301299.08</v>
      </c>
      <c r="E83" s="406">
        <v>0</v>
      </c>
      <c r="F83" s="403"/>
      <c r="G83" s="404" t="s">
        <v>1067</v>
      </c>
      <c r="H83" s="336" t="s">
        <v>1672</v>
      </c>
      <c r="I83" s="405" t="s">
        <v>856</v>
      </c>
      <c r="J83" s="336" t="s">
        <v>1673</v>
      </c>
      <c r="K83" s="336" t="s">
        <v>1583</v>
      </c>
      <c r="L83" s="336" t="s">
        <v>1482</v>
      </c>
      <c r="M83" s="336" t="s">
        <v>1000</v>
      </c>
      <c r="N83" s="336" t="s">
        <v>802</v>
      </c>
      <c r="O83" s="408">
        <v>301299.08</v>
      </c>
      <c r="P83" s="408">
        <v>0</v>
      </c>
      <c r="Q83" s="403"/>
      <c r="R83" s="403"/>
      <c r="S83" s="336" t="s">
        <v>1674</v>
      </c>
      <c r="T83" s="403"/>
      <c r="U83" s="403"/>
      <c r="V83" s="403"/>
      <c r="W83" s="403"/>
      <c r="X83" s="403"/>
      <c r="Y83" s="408">
        <v>301299.08</v>
      </c>
      <c r="Z83" s="403"/>
    </row>
    <row r="84" spans="2:26" x14ac:dyDescent="0.3">
      <c r="B84" s="407" t="s">
        <v>800</v>
      </c>
      <c r="C84" s="404" t="s">
        <v>853</v>
      </c>
      <c r="D84" s="406">
        <v>-419.15000000000003</v>
      </c>
      <c r="E84" s="406">
        <v>-16.59</v>
      </c>
      <c r="F84" s="404" t="s">
        <v>15</v>
      </c>
      <c r="G84" s="404" t="s">
        <v>1067</v>
      </c>
      <c r="H84" s="336" t="s">
        <v>1672</v>
      </c>
      <c r="I84" s="405" t="s">
        <v>866</v>
      </c>
      <c r="J84" s="336" t="s">
        <v>1076</v>
      </c>
      <c r="K84" s="336" t="s">
        <v>1675</v>
      </c>
      <c r="L84" s="403"/>
      <c r="M84" s="336" t="s">
        <v>832</v>
      </c>
      <c r="N84" s="336" t="s">
        <v>800</v>
      </c>
      <c r="O84" s="408">
        <v>419.15000000000003</v>
      </c>
      <c r="P84" s="408">
        <v>16.59</v>
      </c>
      <c r="Q84" s="405" t="s">
        <v>15</v>
      </c>
      <c r="R84" s="405" t="s">
        <v>1676</v>
      </c>
      <c r="S84" s="336" t="s">
        <v>1770</v>
      </c>
      <c r="T84" s="403"/>
      <c r="U84" s="403"/>
      <c r="V84" s="403"/>
      <c r="W84" s="403"/>
      <c r="X84" s="403"/>
      <c r="Y84" s="403"/>
      <c r="Z84" s="408">
        <v>419.15000000000003</v>
      </c>
    </row>
    <row r="85" spans="2:26" x14ac:dyDescent="0.3">
      <c r="B85" s="407" t="s">
        <v>832</v>
      </c>
      <c r="C85" s="404" t="s">
        <v>855</v>
      </c>
      <c r="D85" s="406">
        <v>419.15000000000003</v>
      </c>
      <c r="E85" s="406">
        <v>16.59</v>
      </c>
      <c r="F85" s="404" t="s">
        <v>15</v>
      </c>
      <c r="G85" s="404" t="s">
        <v>1067</v>
      </c>
      <c r="H85" s="336" t="s">
        <v>1672</v>
      </c>
      <c r="I85" s="405" t="s">
        <v>866</v>
      </c>
      <c r="J85" s="336" t="s">
        <v>1076</v>
      </c>
      <c r="K85" s="336" t="s">
        <v>1675</v>
      </c>
      <c r="L85" s="403"/>
      <c r="M85" s="336" t="s">
        <v>832</v>
      </c>
      <c r="N85" s="336" t="s">
        <v>800</v>
      </c>
      <c r="O85" s="408">
        <v>419.15000000000003</v>
      </c>
      <c r="P85" s="408">
        <v>16.59</v>
      </c>
      <c r="Q85" s="405" t="s">
        <v>15</v>
      </c>
      <c r="R85" s="405" t="s">
        <v>1676</v>
      </c>
      <c r="S85" s="336" t="s">
        <v>1770</v>
      </c>
      <c r="T85" s="403"/>
      <c r="U85" s="403"/>
      <c r="V85" s="403"/>
      <c r="W85" s="403"/>
      <c r="X85" s="403"/>
      <c r="Y85" s="408">
        <v>419.15000000000003</v>
      </c>
      <c r="Z85" s="403"/>
    </row>
    <row r="86" spans="2:26" x14ac:dyDescent="0.3">
      <c r="B86" s="407" t="s">
        <v>800</v>
      </c>
      <c r="C86" s="404" t="s">
        <v>853</v>
      </c>
      <c r="D86" s="406">
        <v>-1995.43</v>
      </c>
      <c r="E86" s="406">
        <v>-78.98</v>
      </c>
      <c r="F86" s="404" t="s">
        <v>15</v>
      </c>
      <c r="G86" s="404" t="s">
        <v>1067</v>
      </c>
      <c r="H86" s="336" t="s">
        <v>1672</v>
      </c>
      <c r="I86" s="405" t="s">
        <v>866</v>
      </c>
      <c r="J86" s="336" t="s">
        <v>1078</v>
      </c>
      <c r="K86" s="336" t="s">
        <v>1771</v>
      </c>
      <c r="L86" s="403"/>
      <c r="M86" s="336" t="s">
        <v>832</v>
      </c>
      <c r="N86" s="336" t="s">
        <v>800</v>
      </c>
      <c r="O86" s="408">
        <v>1995.43</v>
      </c>
      <c r="P86" s="408">
        <v>78.98</v>
      </c>
      <c r="Q86" s="405" t="s">
        <v>15</v>
      </c>
      <c r="R86" s="405" t="s">
        <v>1676</v>
      </c>
      <c r="S86" s="336" t="s">
        <v>1770</v>
      </c>
      <c r="T86" s="403"/>
      <c r="U86" s="403"/>
      <c r="V86" s="403"/>
      <c r="W86" s="403"/>
      <c r="X86" s="403"/>
      <c r="Y86" s="403"/>
      <c r="Z86" s="408">
        <v>1995.43</v>
      </c>
    </row>
    <row r="87" spans="2:26" x14ac:dyDescent="0.3">
      <c r="B87" s="407" t="s">
        <v>832</v>
      </c>
      <c r="C87" s="404" t="s">
        <v>855</v>
      </c>
      <c r="D87" s="406">
        <v>1995.43</v>
      </c>
      <c r="E87" s="406">
        <v>78.98</v>
      </c>
      <c r="F87" s="404" t="s">
        <v>15</v>
      </c>
      <c r="G87" s="404" t="s">
        <v>1067</v>
      </c>
      <c r="H87" s="336" t="s">
        <v>1672</v>
      </c>
      <c r="I87" s="405" t="s">
        <v>866</v>
      </c>
      <c r="J87" s="336" t="s">
        <v>1078</v>
      </c>
      <c r="K87" s="336" t="s">
        <v>1771</v>
      </c>
      <c r="L87" s="403"/>
      <c r="M87" s="336" t="s">
        <v>832</v>
      </c>
      <c r="N87" s="336" t="s">
        <v>800</v>
      </c>
      <c r="O87" s="408">
        <v>1995.43</v>
      </c>
      <c r="P87" s="408">
        <v>78.98</v>
      </c>
      <c r="Q87" s="405" t="s">
        <v>15</v>
      </c>
      <c r="R87" s="405" t="s">
        <v>1676</v>
      </c>
      <c r="S87" s="336" t="s">
        <v>1770</v>
      </c>
      <c r="T87" s="403"/>
      <c r="U87" s="403"/>
      <c r="V87" s="403"/>
      <c r="W87" s="403"/>
      <c r="X87" s="403"/>
      <c r="Y87" s="408">
        <v>1995.43</v>
      </c>
      <c r="Z87" s="403"/>
    </row>
    <row r="88" spans="2:26" x14ac:dyDescent="0.3">
      <c r="B88" s="407" t="s">
        <v>919</v>
      </c>
      <c r="C88" s="404" t="s">
        <v>853</v>
      </c>
      <c r="D88" s="406">
        <v>-43304.13</v>
      </c>
      <c r="E88" s="406">
        <v>0</v>
      </c>
      <c r="F88" s="403"/>
      <c r="G88" s="404" t="s">
        <v>1067</v>
      </c>
      <c r="H88" s="336" t="s">
        <v>1677</v>
      </c>
      <c r="I88" s="403"/>
      <c r="J88" s="336" t="s">
        <v>920</v>
      </c>
      <c r="K88" s="336" t="s">
        <v>921</v>
      </c>
      <c r="L88" s="403"/>
      <c r="M88" s="336" t="s">
        <v>917</v>
      </c>
      <c r="N88" s="336" t="s">
        <v>919</v>
      </c>
      <c r="O88" s="408">
        <v>43304.13</v>
      </c>
      <c r="P88" s="408">
        <v>0</v>
      </c>
      <c r="Q88" s="403"/>
      <c r="R88" s="403"/>
      <c r="S88" s="336" t="s">
        <v>858</v>
      </c>
      <c r="T88" s="403"/>
      <c r="U88" s="403"/>
      <c r="V88" s="403"/>
      <c r="W88" s="403"/>
      <c r="X88" s="403"/>
      <c r="Y88" s="403"/>
      <c r="Z88" s="408">
        <v>43304.13</v>
      </c>
    </row>
    <row r="89" spans="2:26" x14ac:dyDescent="0.3">
      <c r="B89" s="407" t="s">
        <v>917</v>
      </c>
      <c r="C89" s="404" t="s">
        <v>855</v>
      </c>
      <c r="D89" s="406">
        <v>43304.13</v>
      </c>
      <c r="E89" s="406">
        <v>0</v>
      </c>
      <c r="F89" s="403"/>
      <c r="G89" s="404" t="s">
        <v>1067</v>
      </c>
      <c r="H89" s="336" t="s">
        <v>1677</v>
      </c>
      <c r="I89" s="403"/>
      <c r="J89" s="336" t="s">
        <v>920</v>
      </c>
      <c r="K89" s="336" t="s">
        <v>921</v>
      </c>
      <c r="L89" s="403"/>
      <c r="M89" s="336" t="s">
        <v>917</v>
      </c>
      <c r="N89" s="336" t="s">
        <v>919</v>
      </c>
      <c r="O89" s="408">
        <v>43304.13</v>
      </c>
      <c r="P89" s="408">
        <v>0</v>
      </c>
      <c r="Q89" s="403"/>
      <c r="R89" s="403"/>
      <c r="S89" s="336" t="s">
        <v>858</v>
      </c>
      <c r="T89" s="403"/>
      <c r="U89" s="403"/>
      <c r="V89" s="403"/>
      <c r="W89" s="403"/>
      <c r="X89" s="403"/>
      <c r="Y89" s="408">
        <v>43304.13</v>
      </c>
      <c r="Z89" s="403"/>
    </row>
    <row r="90" spans="2:26" x14ac:dyDescent="0.3">
      <c r="B90" s="407" t="s">
        <v>918</v>
      </c>
      <c r="C90" s="404" t="s">
        <v>853</v>
      </c>
      <c r="D90" s="406">
        <v>-154198.69</v>
      </c>
      <c r="E90" s="406">
        <v>0</v>
      </c>
      <c r="F90" s="403"/>
      <c r="G90" s="404" t="s">
        <v>1067</v>
      </c>
      <c r="H90" s="336" t="s">
        <v>1677</v>
      </c>
      <c r="I90" s="403"/>
      <c r="J90" s="336" t="s">
        <v>922</v>
      </c>
      <c r="K90" s="336" t="s">
        <v>923</v>
      </c>
      <c r="L90" s="336" t="s">
        <v>1525</v>
      </c>
      <c r="M90" s="336" t="s">
        <v>924</v>
      </c>
      <c r="N90" s="336" t="s">
        <v>918</v>
      </c>
      <c r="O90" s="408">
        <v>154198.69</v>
      </c>
      <c r="P90" s="408">
        <v>0</v>
      </c>
      <c r="Q90" s="403"/>
      <c r="R90" s="403"/>
      <c r="S90" s="336" t="s">
        <v>864</v>
      </c>
      <c r="T90" s="403"/>
      <c r="U90" s="403"/>
      <c r="V90" s="403"/>
      <c r="W90" s="403"/>
      <c r="X90" s="403"/>
      <c r="Y90" s="403"/>
      <c r="Z90" s="408">
        <v>154198.69</v>
      </c>
    </row>
    <row r="91" spans="2:26" x14ac:dyDescent="0.3">
      <c r="B91" s="407" t="s">
        <v>924</v>
      </c>
      <c r="C91" s="404" t="s">
        <v>855</v>
      </c>
      <c r="D91" s="406">
        <v>154198.69</v>
      </c>
      <c r="E91" s="406">
        <v>0</v>
      </c>
      <c r="F91" s="403"/>
      <c r="G91" s="404" t="s">
        <v>1067</v>
      </c>
      <c r="H91" s="336" t="s">
        <v>1677</v>
      </c>
      <c r="I91" s="403"/>
      <c r="J91" s="336" t="s">
        <v>922</v>
      </c>
      <c r="K91" s="336" t="s">
        <v>923</v>
      </c>
      <c r="L91" s="336" t="s">
        <v>1525</v>
      </c>
      <c r="M91" s="336" t="s">
        <v>924</v>
      </c>
      <c r="N91" s="336" t="s">
        <v>918</v>
      </c>
      <c r="O91" s="408">
        <v>154198.69</v>
      </c>
      <c r="P91" s="408">
        <v>0</v>
      </c>
      <c r="Q91" s="403"/>
      <c r="R91" s="403"/>
      <c r="S91" s="336" t="s">
        <v>864</v>
      </c>
      <c r="T91" s="403"/>
      <c r="U91" s="403"/>
      <c r="V91" s="403"/>
      <c r="W91" s="403"/>
      <c r="X91" s="403"/>
      <c r="Y91" s="408">
        <v>154198.69</v>
      </c>
      <c r="Z91" s="403"/>
    </row>
    <row r="92" spans="2:26" x14ac:dyDescent="0.3">
      <c r="B92" s="407" t="s">
        <v>918</v>
      </c>
      <c r="C92" s="404" t="s">
        <v>853</v>
      </c>
      <c r="D92" s="406">
        <v>-848.39</v>
      </c>
      <c r="E92" s="406">
        <v>0</v>
      </c>
      <c r="F92" s="403"/>
      <c r="G92" s="404" t="s">
        <v>1067</v>
      </c>
      <c r="H92" s="336" t="s">
        <v>1677</v>
      </c>
      <c r="I92" s="403"/>
      <c r="J92" s="336" t="s">
        <v>925</v>
      </c>
      <c r="K92" s="336" t="s">
        <v>926</v>
      </c>
      <c r="L92" s="336" t="s">
        <v>1486</v>
      </c>
      <c r="M92" s="336" t="s">
        <v>824</v>
      </c>
      <c r="N92" s="336" t="s">
        <v>918</v>
      </c>
      <c r="O92" s="408">
        <v>848.39</v>
      </c>
      <c r="P92" s="408">
        <v>0</v>
      </c>
      <c r="Q92" s="403"/>
      <c r="R92" s="403"/>
      <c r="S92" s="336" t="s">
        <v>860</v>
      </c>
      <c r="T92" s="403"/>
      <c r="U92" s="403"/>
      <c r="V92" s="403"/>
      <c r="W92" s="403"/>
      <c r="X92" s="403"/>
      <c r="Y92" s="403"/>
      <c r="Z92" s="408">
        <v>848.39</v>
      </c>
    </row>
    <row r="93" spans="2:26" x14ac:dyDescent="0.3">
      <c r="B93" s="407" t="s">
        <v>824</v>
      </c>
      <c r="C93" s="404" t="s">
        <v>855</v>
      </c>
      <c r="D93" s="406">
        <v>848.39</v>
      </c>
      <c r="E93" s="406">
        <v>0</v>
      </c>
      <c r="F93" s="403"/>
      <c r="G93" s="404" t="s">
        <v>1067</v>
      </c>
      <c r="H93" s="336" t="s">
        <v>1677</v>
      </c>
      <c r="I93" s="403"/>
      <c r="J93" s="336" t="s">
        <v>925</v>
      </c>
      <c r="K93" s="336" t="s">
        <v>926</v>
      </c>
      <c r="L93" s="336" t="s">
        <v>1486</v>
      </c>
      <c r="M93" s="336" t="s">
        <v>824</v>
      </c>
      <c r="N93" s="336" t="s">
        <v>918</v>
      </c>
      <c r="O93" s="408">
        <v>848.39</v>
      </c>
      <c r="P93" s="408">
        <v>0</v>
      </c>
      <c r="Q93" s="403"/>
      <c r="R93" s="403"/>
      <c r="S93" s="336" t="s">
        <v>860</v>
      </c>
      <c r="T93" s="403"/>
      <c r="U93" s="403"/>
      <c r="V93" s="403"/>
      <c r="W93" s="403"/>
      <c r="X93" s="403"/>
      <c r="Y93" s="408">
        <v>848.39</v>
      </c>
      <c r="Z93" s="403"/>
    </row>
    <row r="94" spans="2:26" x14ac:dyDescent="0.3">
      <c r="B94" s="407" t="s">
        <v>918</v>
      </c>
      <c r="C94" s="404" t="s">
        <v>853</v>
      </c>
      <c r="D94" s="406">
        <v>-1512.1</v>
      </c>
      <c r="E94" s="406">
        <v>0</v>
      </c>
      <c r="F94" s="403"/>
      <c r="G94" s="404" t="s">
        <v>1067</v>
      </c>
      <c r="H94" s="336" t="s">
        <v>1677</v>
      </c>
      <c r="I94" s="403"/>
      <c r="J94" s="336" t="s">
        <v>927</v>
      </c>
      <c r="K94" s="336" t="s">
        <v>928</v>
      </c>
      <c r="L94" s="336" t="s">
        <v>1526</v>
      </c>
      <c r="M94" s="336" t="s">
        <v>824</v>
      </c>
      <c r="N94" s="336" t="s">
        <v>918</v>
      </c>
      <c r="O94" s="408">
        <v>1512.1</v>
      </c>
      <c r="P94" s="408">
        <v>0</v>
      </c>
      <c r="Q94" s="403"/>
      <c r="R94" s="403"/>
      <c r="S94" s="336" t="s">
        <v>862</v>
      </c>
      <c r="T94" s="403"/>
      <c r="U94" s="403"/>
      <c r="V94" s="403"/>
      <c r="W94" s="403"/>
      <c r="X94" s="403"/>
      <c r="Y94" s="403"/>
      <c r="Z94" s="408">
        <v>1512.1</v>
      </c>
    </row>
    <row r="95" spans="2:26" x14ac:dyDescent="0.3">
      <c r="B95" s="407" t="s">
        <v>824</v>
      </c>
      <c r="C95" s="404" t="s">
        <v>855</v>
      </c>
      <c r="D95" s="406">
        <v>1512.1</v>
      </c>
      <c r="E95" s="406">
        <v>0</v>
      </c>
      <c r="F95" s="403"/>
      <c r="G95" s="404" t="s">
        <v>1067</v>
      </c>
      <c r="H95" s="336" t="s">
        <v>1677</v>
      </c>
      <c r="I95" s="403"/>
      <c r="J95" s="336" t="s">
        <v>927</v>
      </c>
      <c r="K95" s="336" t="s">
        <v>928</v>
      </c>
      <c r="L95" s="336" t="s">
        <v>1526</v>
      </c>
      <c r="M95" s="336" t="s">
        <v>824</v>
      </c>
      <c r="N95" s="336" t="s">
        <v>918</v>
      </c>
      <c r="O95" s="408">
        <v>1512.1</v>
      </c>
      <c r="P95" s="408">
        <v>0</v>
      </c>
      <c r="Q95" s="403"/>
      <c r="R95" s="403"/>
      <c r="S95" s="336" t="s">
        <v>862</v>
      </c>
      <c r="T95" s="403"/>
      <c r="U95" s="403"/>
      <c r="V95" s="403"/>
      <c r="W95" s="403"/>
      <c r="X95" s="403"/>
      <c r="Y95" s="408">
        <v>1512.1</v>
      </c>
      <c r="Z95" s="403"/>
    </row>
    <row r="96" spans="2:26" x14ac:dyDescent="0.3">
      <c r="B96" s="407" t="s">
        <v>802</v>
      </c>
      <c r="C96" s="404" t="s">
        <v>853</v>
      </c>
      <c r="D96" s="406">
        <v>-6921.2</v>
      </c>
      <c r="E96" s="406">
        <v>0</v>
      </c>
      <c r="F96" s="403"/>
      <c r="G96" s="404" t="s">
        <v>1067</v>
      </c>
      <c r="H96" s="336" t="s">
        <v>1677</v>
      </c>
      <c r="I96" s="405" t="s">
        <v>856</v>
      </c>
      <c r="J96" s="336" t="s">
        <v>1678</v>
      </c>
      <c r="K96" s="336" t="s">
        <v>1772</v>
      </c>
      <c r="L96" s="336" t="s">
        <v>1483</v>
      </c>
      <c r="M96" s="336" t="s">
        <v>826</v>
      </c>
      <c r="N96" s="336" t="s">
        <v>802</v>
      </c>
      <c r="O96" s="408">
        <v>6921.2</v>
      </c>
      <c r="P96" s="408">
        <v>0</v>
      </c>
      <c r="Q96" s="403"/>
      <c r="R96" s="403"/>
      <c r="S96" s="336" t="s">
        <v>1680</v>
      </c>
      <c r="T96" s="403"/>
      <c r="U96" s="403"/>
      <c r="V96" s="403"/>
      <c r="W96" s="403"/>
      <c r="X96" s="403"/>
      <c r="Y96" s="403"/>
      <c r="Z96" s="408">
        <v>6921.2</v>
      </c>
    </row>
    <row r="97" spans="2:26" x14ac:dyDescent="0.3">
      <c r="B97" s="407" t="s">
        <v>826</v>
      </c>
      <c r="C97" s="404" t="s">
        <v>855</v>
      </c>
      <c r="D97" s="406">
        <v>6921.2</v>
      </c>
      <c r="E97" s="406">
        <v>0</v>
      </c>
      <c r="F97" s="403"/>
      <c r="G97" s="404" t="s">
        <v>1067</v>
      </c>
      <c r="H97" s="336" t="s">
        <v>1677</v>
      </c>
      <c r="I97" s="405" t="s">
        <v>856</v>
      </c>
      <c r="J97" s="336" t="s">
        <v>1678</v>
      </c>
      <c r="K97" s="336" t="s">
        <v>1772</v>
      </c>
      <c r="L97" s="336" t="s">
        <v>1483</v>
      </c>
      <c r="M97" s="336" t="s">
        <v>826</v>
      </c>
      <c r="N97" s="336" t="s">
        <v>802</v>
      </c>
      <c r="O97" s="408">
        <v>6921.2</v>
      </c>
      <c r="P97" s="408">
        <v>0</v>
      </c>
      <c r="Q97" s="403"/>
      <c r="R97" s="403"/>
      <c r="S97" s="336" t="s">
        <v>1680</v>
      </c>
      <c r="T97" s="403"/>
      <c r="U97" s="403"/>
      <c r="V97" s="403"/>
      <c r="W97" s="403"/>
      <c r="X97" s="403"/>
      <c r="Y97" s="408">
        <v>6921.2</v>
      </c>
      <c r="Z97" s="403"/>
    </row>
    <row r="98" spans="2:26" x14ac:dyDescent="0.3">
      <c r="B98" s="407" t="s">
        <v>802</v>
      </c>
      <c r="C98" s="404" t="s">
        <v>853</v>
      </c>
      <c r="D98" s="406">
        <v>-33469.289999999994</v>
      </c>
      <c r="E98" s="406">
        <v>-1321.33</v>
      </c>
      <c r="F98" s="404" t="s">
        <v>15</v>
      </c>
      <c r="G98" s="404" t="s">
        <v>1067</v>
      </c>
      <c r="H98" s="336" t="s">
        <v>1677</v>
      </c>
      <c r="I98" s="405" t="s">
        <v>856</v>
      </c>
      <c r="J98" s="336" t="s">
        <v>1681</v>
      </c>
      <c r="K98" s="336" t="s">
        <v>1080</v>
      </c>
      <c r="L98" s="336" t="s">
        <v>1483</v>
      </c>
      <c r="M98" s="336" t="s">
        <v>826</v>
      </c>
      <c r="N98" s="336" t="s">
        <v>802</v>
      </c>
      <c r="O98" s="408">
        <v>33469.289999999994</v>
      </c>
      <c r="P98" s="408">
        <v>1321.33</v>
      </c>
      <c r="Q98" s="405" t="s">
        <v>15</v>
      </c>
      <c r="R98" s="405" t="s">
        <v>1682</v>
      </c>
      <c r="S98" s="336" t="s">
        <v>1683</v>
      </c>
      <c r="T98" s="403"/>
      <c r="U98" s="403"/>
      <c r="V98" s="403"/>
      <c r="W98" s="403"/>
      <c r="X98" s="403"/>
      <c r="Y98" s="403"/>
      <c r="Z98" s="408">
        <v>33469.289999999994</v>
      </c>
    </row>
    <row r="99" spans="2:26" x14ac:dyDescent="0.3">
      <c r="B99" s="407" t="s">
        <v>826</v>
      </c>
      <c r="C99" s="404" t="s">
        <v>855</v>
      </c>
      <c r="D99" s="406">
        <v>33469.289999999994</v>
      </c>
      <c r="E99" s="406">
        <v>1321.33</v>
      </c>
      <c r="F99" s="404" t="s">
        <v>15</v>
      </c>
      <c r="G99" s="404" t="s">
        <v>1067</v>
      </c>
      <c r="H99" s="336" t="s">
        <v>1677</v>
      </c>
      <c r="I99" s="405" t="s">
        <v>856</v>
      </c>
      <c r="J99" s="336" t="s">
        <v>1681</v>
      </c>
      <c r="K99" s="336" t="s">
        <v>1080</v>
      </c>
      <c r="L99" s="336" t="s">
        <v>1483</v>
      </c>
      <c r="M99" s="336" t="s">
        <v>826</v>
      </c>
      <c r="N99" s="336" t="s">
        <v>802</v>
      </c>
      <c r="O99" s="408">
        <v>33469.289999999994</v>
      </c>
      <c r="P99" s="408">
        <v>1321.33</v>
      </c>
      <c r="Q99" s="405" t="s">
        <v>15</v>
      </c>
      <c r="R99" s="405" t="s">
        <v>1682</v>
      </c>
      <c r="S99" s="336" t="s">
        <v>1683</v>
      </c>
      <c r="T99" s="403"/>
      <c r="U99" s="403"/>
      <c r="V99" s="403"/>
      <c r="W99" s="403"/>
      <c r="X99" s="403"/>
      <c r="Y99" s="408">
        <v>33469.289999999994</v>
      </c>
      <c r="Z99" s="403"/>
    </row>
    <row r="100" spans="2:26" x14ac:dyDescent="0.3">
      <c r="B100" s="407" t="s">
        <v>834</v>
      </c>
      <c r="C100" s="404" t="s">
        <v>853</v>
      </c>
      <c r="D100" s="406">
        <v>-3094836.17</v>
      </c>
      <c r="E100" s="406">
        <v>-122301.37000000001</v>
      </c>
      <c r="F100" s="404" t="s">
        <v>15</v>
      </c>
      <c r="G100" s="404" t="s">
        <v>1067</v>
      </c>
      <c r="H100" s="336" t="s">
        <v>1677</v>
      </c>
      <c r="I100" s="405" t="s">
        <v>865</v>
      </c>
      <c r="J100" s="336" t="s">
        <v>1684</v>
      </c>
      <c r="K100" s="336" t="s">
        <v>1685</v>
      </c>
      <c r="L100" s="403"/>
      <c r="M100" s="336" t="s">
        <v>772</v>
      </c>
      <c r="N100" s="336" t="s">
        <v>834</v>
      </c>
      <c r="O100" s="408">
        <v>3094836.17</v>
      </c>
      <c r="P100" s="408">
        <v>122301.37000000001</v>
      </c>
      <c r="Q100" s="405" t="s">
        <v>15</v>
      </c>
      <c r="R100" s="405" t="s">
        <v>1686</v>
      </c>
      <c r="S100" s="336" t="s">
        <v>1518</v>
      </c>
      <c r="T100" s="403"/>
      <c r="U100" s="403"/>
      <c r="V100" s="403"/>
      <c r="W100" s="403"/>
      <c r="X100" s="403"/>
      <c r="Y100" s="403"/>
      <c r="Z100" s="408">
        <v>3094836.17</v>
      </c>
    </row>
    <row r="101" spans="2:26" x14ac:dyDescent="0.3">
      <c r="B101" s="407" t="s">
        <v>772</v>
      </c>
      <c r="C101" s="404" t="s">
        <v>855</v>
      </c>
      <c r="D101" s="406">
        <v>3094836.17</v>
      </c>
      <c r="E101" s="406">
        <v>122301.37000000001</v>
      </c>
      <c r="F101" s="404" t="s">
        <v>15</v>
      </c>
      <c r="G101" s="404" t="s">
        <v>1067</v>
      </c>
      <c r="H101" s="336" t="s">
        <v>1677</v>
      </c>
      <c r="I101" s="405" t="s">
        <v>865</v>
      </c>
      <c r="J101" s="336" t="s">
        <v>1684</v>
      </c>
      <c r="K101" s="336" t="s">
        <v>1685</v>
      </c>
      <c r="L101" s="403"/>
      <c r="M101" s="336" t="s">
        <v>772</v>
      </c>
      <c r="N101" s="336" t="s">
        <v>834</v>
      </c>
      <c r="O101" s="408">
        <v>3094836.17</v>
      </c>
      <c r="P101" s="408">
        <v>122301.37000000001</v>
      </c>
      <c r="Q101" s="405" t="s">
        <v>15</v>
      </c>
      <c r="R101" s="405" t="s">
        <v>1686</v>
      </c>
      <c r="S101" s="336" t="s">
        <v>1518</v>
      </c>
      <c r="T101" s="403"/>
      <c r="U101" s="403"/>
      <c r="V101" s="403"/>
      <c r="W101" s="403"/>
      <c r="X101" s="403"/>
      <c r="Y101" s="408">
        <v>3094836.17</v>
      </c>
      <c r="Z101" s="403"/>
    </row>
    <row r="102" spans="2:26" x14ac:dyDescent="0.3">
      <c r="B102" s="407" t="s">
        <v>818</v>
      </c>
      <c r="C102" s="404" t="s">
        <v>853</v>
      </c>
      <c r="D102" s="406">
        <v>-2846812.5</v>
      </c>
      <c r="E102" s="406">
        <v>-112500</v>
      </c>
      <c r="F102" s="404" t="s">
        <v>15</v>
      </c>
      <c r="G102" s="404" t="s">
        <v>1067</v>
      </c>
      <c r="H102" s="336" t="s">
        <v>1677</v>
      </c>
      <c r="I102" s="405" t="s">
        <v>865</v>
      </c>
      <c r="J102" s="336" t="s">
        <v>1687</v>
      </c>
      <c r="K102" s="336" t="s">
        <v>1688</v>
      </c>
      <c r="L102" s="403"/>
      <c r="M102" s="336" t="s">
        <v>828</v>
      </c>
      <c r="N102" s="336" t="s">
        <v>818</v>
      </c>
      <c r="O102" s="408">
        <v>2846812.5</v>
      </c>
      <c r="P102" s="408">
        <v>112500</v>
      </c>
      <c r="Q102" s="405" t="s">
        <v>15</v>
      </c>
      <c r="R102" s="405" t="s">
        <v>1686</v>
      </c>
      <c r="S102" s="336" t="s">
        <v>1517</v>
      </c>
      <c r="T102" s="403"/>
      <c r="U102" s="403"/>
      <c r="V102" s="403"/>
      <c r="W102" s="403"/>
      <c r="X102" s="403"/>
      <c r="Y102" s="403"/>
      <c r="Z102" s="408">
        <v>2846812.5</v>
      </c>
    </row>
    <row r="103" spans="2:26" x14ac:dyDescent="0.3">
      <c r="B103" s="407" t="s">
        <v>828</v>
      </c>
      <c r="C103" s="404" t="s">
        <v>855</v>
      </c>
      <c r="D103" s="406">
        <v>2846812.5</v>
      </c>
      <c r="E103" s="406">
        <v>112500</v>
      </c>
      <c r="F103" s="404" t="s">
        <v>15</v>
      </c>
      <c r="G103" s="404" t="s">
        <v>1067</v>
      </c>
      <c r="H103" s="336" t="s">
        <v>1677</v>
      </c>
      <c r="I103" s="405" t="s">
        <v>865</v>
      </c>
      <c r="J103" s="336" t="s">
        <v>1687</v>
      </c>
      <c r="K103" s="336" t="s">
        <v>1688</v>
      </c>
      <c r="L103" s="403"/>
      <c r="M103" s="336" t="s">
        <v>828</v>
      </c>
      <c r="N103" s="336" t="s">
        <v>818</v>
      </c>
      <c r="O103" s="408">
        <v>2846812.5</v>
      </c>
      <c r="P103" s="408">
        <v>112500</v>
      </c>
      <c r="Q103" s="405" t="s">
        <v>15</v>
      </c>
      <c r="R103" s="405" t="s">
        <v>1686</v>
      </c>
      <c r="S103" s="336" t="s">
        <v>1517</v>
      </c>
      <c r="T103" s="403"/>
      <c r="U103" s="403"/>
      <c r="V103" s="403"/>
      <c r="W103" s="403"/>
      <c r="X103" s="403"/>
      <c r="Y103" s="408">
        <v>2846812.5</v>
      </c>
      <c r="Z103" s="403"/>
    </row>
    <row r="104" spans="2:26" x14ac:dyDescent="0.3">
      <c r="B104" s="407" t="s">
        <v>800</v>
      </c>
      <c r="C104" s="404" t="s">
        <v>853</v>
      </c>
      <c r="D104" s="406">
        <v>-11.89</v>
      </c>
      <c r="E104" s="406">
        <v>-0.47000000000000003</v>
      </c>
      <c r="F104" s="404" t="s">
        <v>15</v>
      </c>
      <c r="G104" s="404" t="s">
        <v>1067</v>
      </c>
      <c r="H104" s="336" t="s">
        <v>1677</v>
      </c>
      <c r="I104" s="405" t="s">
        <v>866</v>
      </c>
      <c r="J104" s="336" t="s">
        <v>1081</v>
      </c>
      <c r="K104" s="336" t="s">
        <v>869</v>
      </c>
      <c r="L104" s="403"/>
      <c r="M104" s="336" t="s">
        <v>832</v>
      </c>
      <c r="N104" s="336" t="s">
        <v>800</v>
      </c>
      <c r="O104" s="408">
        <v>11.89</v>
      </c>
      <c r="P104" s="408">
        <v>0.47000000000000003</v>
      </c>
      <c r="Q104" s="405" t="s">
        <v>15</v>
      </c>
      <c r="R104" s="405" t="s">
        <v>1686</v>
      </c>
      <c r="S104" s="403"/>
      <c r="T104" s="403"/>
      <c r="U104" s="403"/>
      <c r="V104" s="403"/>
      <c r="W104" s="403"/>
      <c r="X104" s="403"/>
      <c r="Y104" s="403"/>
      <c r="Z104" s="408">
        <v>11.89</v>
      </c>
    </row>
    <row r="105" spans="2:26" x14ac:dyDescent="0.3">
      <c r="B105" s="407" t="s">
        <v>832</v>
      </c>
      <c r="C105" s="404" t="s">
        <v>855</v>
      </c>
      <c r="D105" s="406">
        <v>11.89</v>
      </c>
      <c r="E105" s="406">
        <v>0.47000000000000003</v>
      </c>
      <c r="F105" s="404" t="s">
        <v>15</v>
      </c>
      <c r="G105" s="404" t="s">
        <v>1067</v>
      </c>
      <c r="H105" s="336" t="s">
        <v>1677</v>
      </c>
      <c r="I105" s="405" t="s">
        <v>866</v>
      </c>
      <c r="J105" s="336" t="s">
        <v>1081</v>
      </c>
      <c r="K105" s="336" t="s">
        <v>869</v>
      </c>
      <c r="L105" s="403"/>
      <c r="M105" s="336" t="s">
        <v>832</v>
      </c>
      <c r="N105" s="336" t="s">
        <v>800</v>
      </c>
      <c r="O105" s="408">
        <v>11.89</v>
      </c>
      <c r="P105" s="408">
        <v>0.47000000000000003</v>
      </c>
      <c r="Q105" s="405" t="s">
        <v>15</v>
      </c>
      <c r="R105" s="405" t="s">
        <v>1686</v>
      </c>
      <c r="S105" s="403"/>
      <c r="T105" s="403"/>
      <c r="U105" s="403"/>
      <c r="V105" s="403"/>
      <c r="W105" s="403"/>
      <c r="X105" s="403"/>
      <c r="Y105" s="408">
        <v>11.89</v>
      </c>
      <c r="Z105" s="403"/>
    </row>
    <row r="106" spans="2:26" x14ac:dyDescent="0.3">
      <c r="B106" s="407" t="s">
        <v>800</v>
      </c>
      <c r="C106" s="404" t="s">
        <v>853</v>
      </c>
      <c r="D106" s="406">
        <v>-30.110000000000003</v>
      </c>
      <c r="E106" s="406">
        <v>-1.1900000000000002</v>
      </c>
      <c r="F106" s="404" t="s">
        <v>15</v>
      </c>
      <c r="G106" s="404" t="s">
        <v>1067</v>
      </c>
      <c r="H106" s="336" t="s">
        <v>1677</v>
      </c>
      <c r="I106" s="405" t="s">
        <v>866</v>
      </c>
      <c r="J106" s="336" t="s">
        <v>1082</v>
      </c>
      <c r="K106" s="336" t="s">
        <v>869</v>
      </c>
      <c r="L106" s="403"/>
      <c r="M106" s="336" t="s">
        <v>832</v>
      </c>
      <c r="N106" s="336" t="s">
        <v>800</v>
      </c>
      <c r="O106" s="408">
        <v>30.110000000000003</v>
      </c>
      <c r="P106" s="408">
        <v>1.1900000000000002</v>
      </c>
      <c r="Q106" s="405" t="s">
        <v>15</v>
      </c>
      <c r="R106" s="405" t="s">
        <v>1686</v>
      </c>
      <c r="S106" s="403"/>
      <c r="T106" s="403"/>
      <c r="U106" s="403"/>
      <c r="V106" s="403"/>
      <c r="W106" s="403"/>
      <c r="X106" s="403"/>
      <c r="Y106" s="403"/>
      <c r="Z106" s="408">
        <v>30.110000000000003</v>
      </c>
    </row>
    <row r="107" spans="2:26" x14ac:dyDescent="0.3">
      <c r="B107" s="407" t="s">
        <v>832</v>
      </c>
      <c r="C107" s="404" t="s">
        <v>855</v>
      </c>
      <c r="D107" s="406">
        <v>30.110000000000003</v>
      </c>
      <c r="E107" s="406">
        <v>1.1900000000000002</v>
      </c>
      <c r="F107" s="404" t="s">
        <v>15</v>
      </c>
      <c r="G107" s="404" t="s">
        <v>1067</v>
      </c>
      <c r="H107" s="336" t="s">
        <v>1677</v>
      </c>
      <c r="I107" s="405" t="s">
        <v>866</v>
      </c>
      <c r="J107" s="336" t="s">
        <v>1082</v>
      </c>
      <c r="K107" s="336" t="s">
        <v>869</v>
      </c>
      <c r="L107" s="403"/>
      <c r="M107" s="336" t="s">
        <v>832</v>
      </c>
      <c r="N107" s="336" t="s">
        <v>800</v>
      </c>
      <c r="O107" s="408">
        <v>30.110000000000003</v>
      </c>
      <c r="P107" s="408">
        <v>1.1900000000000002</v>
      </c>
      <c r="Q107" s="405" t="s">
        <v>15</v>
      </c>
      <c r="R107" s="405" t="s">
        <v>1686</v>
      </c>
      <c r="S107" s="403"/>
      <c r="T107" s="403"/>
      <c r="U107" s="403"/>
      <c r="V107" s="403"/>
      <c r="W107" s="403"/>
      <c r="X107" s="403"/>
      <c r="Y107" s="408">
        <v>30.110000000000003</v>
      </c>
      <c r="Z107" s="403"/>
    </row>
    <row r="108" spans="2:26" x14ac:dyDescent="0.3">
      <c r="B108" s="407" t="s">
        <v>800</v>
      </c>
      <c r="C108" s="404" t="s">
        <v>853</v>
      </c>
      <c r="D108" s="406">
        <v>-195.1</v>
      </c>
      <c r="E108" s="406">
        <v>-7.71</v>
      </c>
      <c r="F108" s="404" t="s">
        <v>15</v>
      </c>
      <c r="G108" s="404" t="s">
        <v>1067</v>
      </c>
      <c r="H108" s="336" t="s">
        <v>1677</v>
      </c>
      <c r="I108" s="405" t="s">
        <v>866</v>
      </c>
      <c r="J108" s="336" t="s">
        <v>1083</v>
      </c>
      <c r="K108" s="336" t="s">
        <v>869</v>
      </c>
      <c r="L108" s="403"/>
      <c r="M108" s="336" t="s">
        <v>832</v>
      </c>
      <c r="N108" s="336" t="s">
        <v>800</v>
      </c>
      <c r="O108" s="408">
        <v>195.1</v>
      </c>
      <c r="P108" s="408">
        <v>7.71</v>
      </c>
      <c r="Q108" s="405" t="s">
        <v>15</v>
      </c>
      <c r="R108" s="405" t="s">
        <v>1686</v>
      </c>
      <c r="S108" s="403"/>
      <c r="T108" s="403"/>
      <c r="U108" s="403"/>
      <c r="V108" s="403"/>
      <c r="W108" s="403"/>
      <c r="X108" s="403"/>
      <c r="Y108" s="403"/>
      <c r="Z108" s="408">
        <v>195.1</v>
      </c>
    </row>
    <row r="109" spans="2:26" x14ac:dyDescent="0.3">
      <c r="B109" s="407" t="s">
        <v>832</v>
      </c>
      <c r="C109" s="404" t="s">
        <v>855</v>
      </c>
      <c r="D109" s="406">
        <v>195.1</v>
      </c>
      <c r="E109" s="406">
        <v>7.71</v>
      </c>
      <c r="F109" s="404" t="s">
        <v>15</v>
      </c>
      <c r="G109" s="404" t="s">
        <v>1067</v>
      </c>
      <c r="H109" s="336" t="s">
        <v>1677</v>
      </c>
      <c r="I109" s="405" t="s">
        <v>866</v>
      </c>
      <c r="J109" s="336" t="s">
        <v>1083</v>
      </c>
      <c r="K109" s="336" t="s">
        <v>869</v>
      </c>
      <c r="L109" s="403"/>
      <c r="M109" s="336" t="s">
        <v>832</v>
      </c>
      <c r="N109" s="336" t="s">
        <v>800</v>
      </c>
      <c r="O109" s="408">
        <v>195.1</v>
      </c>
      <c r="P109" s="408">
        <v>7.71</v>
      </c>
      <c r="Q109" s="405" t="s">
        <v>15</v>
      </c>
      <c r="R109" s="405" t="s">
        <v>1686</v>
      </c>
      <c r="S109" s="403"/>
      <c r="T109" s="403"/>
      <c r="U109" s="403"/>
      <c r="V109" s="403"/>
      <c r="W109" s="403"/>
      <c r="X109" s="403"/>
      <c r="Y109" s="408">
        <v>195.1</v>
      </c>
      <c r="Z109" s="403"/>
    </row>
    <row r="110" spans="2:26" x14ac:dyDescent="0.3">
      <c r="B110" s="407" t="s">
        <v>800</v>
      </c>
      <c r="C110" s="404" t="s">
        <v>853</v>
      </c>
      <c r="D110" s="406">
        <v>-320.11</v>
      </c>
      <c r="E110" s="406">
        <v>-12.65</v>
      </c>
      <c r="F110" s="404" t="s">
        <v>15</v>
      </c>
      <c r="G110" s="404" t="s">
        <v>1067</v>
      </c>
      <c r="H110" s="336" t="s">
        <v>1677</v>
      </c>
      <c r="I110" s="405" t="s">
        <v>866</v>
      </c>
      <c r="J110" s="336" t="s">
        <v>1084</v>
      </c>
      <c r="K110" s="336" t="s">
        <v>869</v>
      </c>
      <c r="L110" s="403"/>
      <c r="M110" s="336" t="s">
        <v>832</v>
      </c>
      <c r="N110" s="336" t="s">
        <v>800</v>
      </c>
      <c r="O110" s="408">
        <v>320.11</v>
      </c>
      <c r="P110" s="408">
        <v>12.65</v>
      </c>
      <c r="Q110" s="405" t="s">
        <v>15</v>
      </c>
      <c r="R110" s="405" t="s">
        <v>1686</v>
      </c>
      <c r="S110" s="403"/>
      <c r="T110" s="403"/>
      <c r="U110" s="403"/>
      <c r="V110" s="403"/>
      <c r="W110" s="403"/>
      <c r="X110" s="403"/>
      <c r="Y110" s="403"/>
      <c r="Z110" s="408">
        <v>320.11</v>
      </c>
    </row>
    <row r="111" spans="2:26" x14ac:dyDescent="0.3">
      <c r="B111" s="407" t="s">
        <v>832</v>
      </c>
      <c r="C111" s="404" t="s">
        <v>855</v>
      </c>
      <c r="D111" s="406">
        <v>320.11</v>
      </c>
      <c r="E111" s="406">
        <v>12.65</v>
      </c>
      <c r="F111" s="404" t="s">
        <v>15</v>
      </c>
      <c r="G111" s="404" t="s">
        <v>1067</v>
      </c>
      <c r="H111" s="336" t="s">
        <v>1677</v>
      </c>
      <c r="I111" s="405" t="s">
        <v>866</v>
      </c>
      <c r="J111" s="336" t="s">
        <v>1084</v>
      </c>
      <c r="K111" s="336" t="s">
        <v>869</v>
      </c>
      <c r="L111" s="403"/>
      <c r="M111" s="336" t="s">
        <v>832</v>
      </c>
      <c r="N111" s="336" t="s">
        <v>800</v>
      </c>
      <c r="O111" s="408">
        <v>320.11</v>
      </c>
      <c r="P111" s="408">
        <v>12.65</v>
      </c>
      <c r="Q111" s="405" t="s">
        <v>15</v>
      </c>
      <c r="R111" s="405" t="s">
        <v>1686</v>
      </c>
      <c r="S111" s="403"/>
      <c r="T111" s="403"/>
      <c r="U111" s="403"/>
      <c r="V111" s="403"/>
      <c r="W111" s="403"/>
      <c r="X111" s="403"/>
      <c r="Y111" s="408">
        <v>320.11</v>
      </c>
      <c r="Z111" s="403"/>
    </row>
    <row r="112" spans="2:26" x14ac:dyDescent="0.3">
      <c r="B112" s="407" t="s">
        <v>800</v>
      </c>
      <c r="C112" s="404" t="s">
        <v>853</v>
      </c>
      <c r="D112" s="406">
        <v>-6921.2</v>
      </c>
      <c r="E112" s="406">
        <v>-284</v>
      </c>
      <c r="F112" s="404" t="s">
        <v>15</v>
      </c>
      <c r="G112" s="404" t="s">
        <v>1085</v>
      </c>
      <c r="H112" s="336" t="s">
        <v>1689</v>
      </c>
      <c r="I112" s="405" t="s">
        <v>866</v>
      </c>
      <c r="J112" s="336" t="s">
        <v>1087</v>
      </c>
      <c r="K112" s="336" t="s">
        <v>1773</v>
      </c>
      <c r="L112" s="336" t="s">
        <v>1483</v>
      </c>
      <c r="M112" s="336" t="s">
        <v>802</v>
      </c>
      <c r="N112" s="336" t="s">
        <v>800</v>
      </c>
      <c r="O112" s="408">
        <v>6921.2</v>
      </c>
      <c r="P112" s="408">
        <v>284</v>
      </c>
      <c r="Q112" s="405" t="s">
        <v>15</v>
      </c>
      <c r="R112" s="405" t="s">
        <v>1691</v>
      </c>
      <c r="S112" s="336" t="s">
        <v>1680</v>
      </c>
      <c r="T112" s="403"/>
      <c r="U112" s="403"/>
      <c r="V112" s="403"/>
      <c r="W112" s="403"/>
      <c r="X112" s="403"/>
      <c r="Y112" s="403"/>
      <c r="Z112" s="408">
        <v>6921.2</v>
      </c>
    </row>
    <row r="113" spans="2:26" x14ac:dyDescent="0.3">
      <c r="B113" s="407" t="s">
        <v>802</v>
      </c>
      <c r="C113" s="404" t="s">
        <v>855</v>
      </c>
      <c r="D113" s="406">
        <v>6921.2</v>
      </c>
      <c r="E113" s="406">
        <v>284</v>
      </c>
      <c r="F113" s="404" t="s">
        <v>15</v>
      </c>
      <c r="G113" s="404" t="s">
        <v>1085</v>
      </c>
      <c r="H113" s="336" t="s">
        <v>1689</v>
      </c>
      <c r="I113" s="405" t="s">
        <v>866</v>
      </c>
      <c r="J113" s="336" t="s">
        <v>1087</v>
      </c>
      <c r="K113" s="336" t="s">
        <v>1773</v>
      </c>
      <c r="L113" s="336" t="s">
        <v>1483</v>
      </c>
      <c r="M113" s="336" t="s">
        <v>802</v>
      </c>
      <c r="N113" s="336" t="s">
        <v>800</v>
      </c>
      <c r="O113" s="408">
        <v>6921.2</v>
      </c>
      <c r="P113" s="408">
        <v>284</v>
      </c>
      <c r="Q113" s="405" t="s">
        <v>15</v>
      </c>
      <c r="R113" s="405" t="s">
        <v>1691</v>
      </c>
      <c r="S113" s="336" t="s">
        <v>1680</v>
      </c>
      <c r="T113" s="403"/>
      <c r="U113" s="403"/>
      <c r="V113" s="403"/>
      <c r="W113" s="403"/>
      <c r="X113" s="403"/>
      <c r="Y113" s="408">
        <v>6921.2</v>
      </c>
      <c r="Z113" s="403"/>
    </row>
    <row r="114" spans="2:26" x14ac:dyDescent="0.3">
      <c r="B114" s="407" t="s">
        <v>919</v>
      </c>
      <c r="C114" s="404" t="s">
        <v>853</v>
      </c>
      <c r="D114" s="406">
        <v>-41907.219999999994</v>
      </c>
      <c r="E114" s="406">
        <v>0</v>
      </c>
      <c r="F114" s="403"/>
      <c r="G114" s="404" t="s">
        <v>1085</v>
      </c>
      <c r="H114" s="336" t="s">
        <v>1692</v>
      </c>
      <c r="I114" s="403"/>
      <c r="J114" s="336" t="s">
        <v>920</v>
      </c>
      <c r="K114" s="336" t="s">
        <v>921</v>
      </c>
      <c r="L114" s="403"/>
      <c r="M114" s="336" t="s">
        <v>917</v>
      </c>
      <c r="N114" s="336" t="s">
        <v>919</v>
      </c>
      <c r="O114" s="408">
        <v>41907.219999999994</v>
      </c>
      <c r="P114" s="408">
        <v>0</v>
      </c>
      <c r="Q114" s="403"/>
      <c r="R114" s="403"/>
      <c r="S114" s="336" t="s">
        <v>858</v>
      </c>
      <c r="T114" s="403"/>
      <c r="U114" s="403"/>
      <c r="V114" s="403"/>
      <c r="W114" s="403"/>
      <c r="X114" s="403"/>
      <c r="Y114" s="403"/>
      <c r="Z114" s="408">
        <v>41907.219999999994</v>
      </c>
    </row>
    <row r="115" spans="2:26" x14ac:dyDescent="0.3">
      <c r="B115" s="407" t="s">
        <v>917</v>
      </c>
      <c r="C115" s="404" t="s">
        <v>855</v>
      </c>
      <c r="D115" s="406">
        <v>41907.219999999994</v>
      </c>
      <c r="E115" s="406">
        <v>0</v>
      </c>
      <c r="F115" s="403"/>
      <c r="G115" s="404" t="s">
        <v>1085</v>
      </c>
      <c r="H115" s="336" t="s">
        <v>1692</v>
      </c>
      <c r="I115" s="403"/>
      <c r="J115" s="336" t="s">
        <v>920</v>
      </c>
      <c r="K115" s="336" t="s">
        <v>921</v>
      </c>
      <c r="L115" s="403"/>
      <c r="M115" s="336" t="s">
        <v>917</v>
      </c>
      <c r="N115" s="336" t="s">
        <v>919</v>
      </c>
      <c r="O115" s="408">
        <v>41907.219999999994</v>
      </c>
      <c r="P115" s="408">
        <v>0</v>
      </c>
      <c r="Q115" s="403"/>
      <c r="R115" s="403"/>
      <c r="S115" s="336" t="s">
        <v>858</v>
      </c>
      <c r="T115" s="403"/>
      <c r="U115" s="403"/>
      <c r="V115" s="403"/>
      <c r="W115" s="403"/>
      <c r="X115" s="403"/>
      <c r="Y115" s="408">
        <v>41907.219999999994</v>
      </c>
      <c r="Z115" s="403"/>
    </row>
    <row r="116" spans="2:26" x14ac:dyDescent="0.3">
      <c r="B116" s="407" t="s">
        <v>918</v>
      </c>
      <c r="C116" s="404" t="s">
        <v>853</v>
      </c>
      <c r="D116" s="406">
        <v>-149224.53</v>
      </c>
      <c r="E116" s="406">
        <v>0</v>
      </c>
      <c r="F116" s="403"/>
      <c r="G116" s="404" t="s">
        <v>1085</v>
      </c>
      <c r="H116" s="336" t="s">
        <v>1692</v>
      </c>
      <c r="I116" s="403"/>
      <c r="J116" s="336" t="s">
        <v>922</v>
      </c>
      <c r="K116" s="336" t="s">
        <v>923</v>
      </c>
      <c r="L116" s="336" t="s">
        <v>1525</v>
      </c>
      <c r="M116" s="336" t="s">
        <v>924</v>
      </c>
      <c r="N116" s="336" t="s">
        <v>918</v>
      </c>
      <c r="O116" s="408">
        <v>149224.53</v>
      </c>
      <c r="P116" s="408">
        <v>0</v>
      </c>
      <c r="Q116" s="403"/>
      <c r="R116" s="403"/>
      <c r="S116" s="336" t="s">
        <v>864</v>
      </c>
      <c r="T116" s="403"/>
      <c r="U116" s="403"/>
      <c r="V116" s="403"/>
      <c r="W116" s="403"/>
      <c r="X116" s="403"/>
      <c r="Y116" s="403"/>
      <c r="Z116" s="408">
        <v>149224.53</v>
      </c>
    </row>
    <row r="117" spans="2:26" x14ac:dyDescent="0.3">
      <c r="B117" s="407" t="s">
        <v>924</v>
      </c>
      <c r="C117" s="404" t="s">
        <v>855</v>
      </c>
      <c r="D117" s="406">
        <v>149224.53</v>
      </c>
      <c r="E117" s="406">
        <v>0</v>
      </c>
      <c r="F117" s="403"/>
      <c r="G117" s="404" t="s">
        <v>1085</v>
      </c>
      <c r="H117" s="336" t="s">
        <v>1692</v>
      </c>
      <c r="I117" s="403"/>
      <c r="J117" s="336" t="s">
        <v>922</v>
      </c>
      <c r="K117" s="336" t="s">
        <v>923</v>
      </c>
      <c r="L117" s="336" t="s">
        <v>1525</v>
      </c>
      <c r="M117" s="336" t="s">
        <v>924</v>
      </c>
      <c r="N117" s="336" t="s">
        <v>918</v>
      </c>
      <c r="O117" s="408">
        <v>149224.53</v>
      </c>
      <c r="P117" s="408">
        <v>0</v>
      </c>
      <c r="Q117" s="403"/>
      <c r="R117" s="403"/>
      <c r="S117" s="336" t="s">
        <v>864</v>
      </c>
      <c r="T117" s="403"/>
      <c r="U117" s="403"/>
      <c r="V117" s="403"/>
      <c r="W117" s="403"/>
      <c r="X117" s="403"/>
      <c r="Y117" s="408">
        <v>149224.53</v>
      </c>
      <c r="Z117" s="403"/>
    </row>
    <row r="118" spans="2:26" x14ac:dyDescent="0.3">
      <c r="B118" s="407" t="s">
        <v>918</v>
      </c>
      <c r="C118" s="404" t="s">
        <v>853</v>
      </c>
      <c r="D118" s="406">
        <v>-821.02</v>
      </c>
      <c r="E118" s="406">
        <v>0</v>
      </c>
      <c r="F118" s="403"/>
      <c r="G118" s="404" t="s">
        <v>1085</v>
      </c>
      <c r="H118" s="336" t="s">
        <v>1692</v>
      </c>
      <c r="I118" s="403"/>
      <c r="J118" s="336" t="s">
        <v>925</v>
      </c>
      <c r="K118" s="336" t="s">
        <v>926</v>
      </c>
      <c r="L118" s="336" t="s">
        <v>1486</v>
      </c>
      <c r="M118" s="336" t="s">
        <v>824</v>
      </c>
      <c r="N118" s="336" t="s">
        <v>918</v>
      </c>
      <c r="O118" s="408">
        <v>821.02</v>
      </c>
      <c r="P118" s="408">
        <v>0</v>
      </c>
      <c r="Q118" s="403"/>
      <c r="R118" s="403"/>
      <c r="S118" s="336" t="s">
        <v>860</v>
      </c>
      <c r="T118" s="403"/>
      <c r="U118" s="403"/>
      <c r="V118" s="403"/>
      <c r="W118" s="403"/>
      <c r="X118" s="403"/>
      <c r="Y118" s="403"/>
      <c r="Z118" s="408">
        <v>821.02</v>
      </c>
    </row>
    <row r="119" spans="2:26" x14ac:dyDescent="0.3">
      <c r="B119" s="407" t="s">
        <v>824</v>
      </c>
      <c r="C119" s="404" t="s">
        <v>855</v>
      </c>
      <c r="D119" s="406">
        <v>821.02</v>
      </c>
      <c r="E119" s="406">
        <v>0</v>
      </c>
      <c r="F119" s="403"/>
      <c r="G119" s="404" t="s">
        <v>1085</v>
      </c>
      <c r="H119" s="336" t="s">
        <v>1692</v>
      </c>
      <c r="I119" s="403"/>
      <c r="J119" s="336" t="s">
        <v>925</v>
      </c>
      <c r="K119" s="336" t="s">
        <v>926</v>
      </c>
      <c r="L119" s="336" t="s">
        <v>1486</v>
      </c>
      <c r="M119" s="336" t="s">
        <v>824</v>
      </c>
      <c r="N119" s="336" t="s">
        <v>918</v>
      </c>
      <c r="O119" s="408">
        <v>821.02</v>
      </c>
      <c r="P119" s="408">
        <v>0</v>
      </c>
      <c r="Q119" s="403"/>
      <c r="R119" s="403"/>
      <c r="S119" s="336" t="s">
        <v>860</v>
      </c>
      <c r="T119" s="403"/>
      <c r="U119" s="403"/>
      <c r="V119" s="403"/>
      <c r="W119" s="403"/>
      <c r="X119" s="403"/>
      <c r="Y119" s="408">
        <v>821.02</v>
      </c>
      <c r="Z119" s="403"/>
    </row>
    <row r="120" spans="2:26" x14ac:dyDescent="0.3">
      <c r="B120" s="407" t="s">
        <v>918</v>
      </c>
      <c r="C120" s="404" t="s">
        <v>853</v>
      </c>
      <c r="D120" s="406">
        <v>-1463.32</v>
      </c>
      <c r="E120" s="406">
        <v>0</v>
      </c>
      <c r="F120" s="403"/>
      <c r="G120" s="404" t="s">
        <v>1085</v>
      </c>
      <c r="H120" s="336" t="s">
        <v>1692</v>
      </c>
      <c r="I120" s="403"/>
      <c r="J120" s="336" t="s">
        <v>927</v>
      </c>
      <c r="K120" s="336" t="s">
        <v>928</v>
      </c>
      <c r="L120" s="336" t="s">
        <v>1526</v>
      </c>
      <c r="M120" s="336" t="s">
        <v>824</v>
      </c>
      <c r="N120" s="336" t="s">
        <v>918</v>
      </c>
      <c r="O120" s="408">
        <v>1463.32</v>
      </c>
      <c r="P120" s="408">
        <v>0</v>
      </c>
      <c r="Q120" s="403"/>
      <c r="R120" s="403"/>
      <c r="S120" s="336" t="s">
        <v>862</v>
      </c>
      <c r="T120" s="403"/>
      <c r="U120" s="403"/>
      <c r="V120" s="403"/>
      <c r="W120" s="403"/>
      <c r="X120" s="403"/>
      <c r="Y120" s="403"/>
      <c r="Z120" s="408">
        <v>1463.32</v>
      </c>
    </row>
    <row r="121" spans="2:26" x14ac:dyDescent="0.3">
      <c r="B121" s="407" t="s">
        <v>824</v>
      </c>
      <c r="C121" s="404" t="s">
        <v>855</v>
      </c>
      <c r="D121" s="406">
        <v>1463.32</v>
      </c>
      <c r="E121" s="406">
        <v>0</v>
      </c>
      <c r="F121" s="403"/>
      <c r="G121" s="404" t="s">
        <v>1085</v>
      </c>
      <c r="H121" s="336" t="s">
        <v>1692</v>
      </c>
      <c r="I121" s="403"/>
      <c r="J121" s="336" t="s">
        <v>927</v>
      </c>
      <c r="K121" s="336" t="s">
        <v>928</v>
      </c>
      <c r="L121" s="336" t="s">
        <v>1526</v>
      </c>
      <c r="M121" s="336" t="s">
        <v>824</v>
      </c>
      <c r="N121" s="336" t="s">
        <v>918</v>
      </c>
      <c r="O121" s="408">
        <v>1463.32</v>
      </c>
      <c r="P121" s="408">
        <v>0</v>
      </c>
      <c r="Q121" s="403"/>
      <c r="R121" s="403"/>
      <c r="S121" s="336" t="s">
        <v>862</v>
      </c>
      <c r="T121" s="403"/>
      <c r="U121" s="403"/>
      <c r="V121" s="403"/>
      <c r="W121" s="403"/>
      <c r="X121" s="403"/>
      <c r="Y121" s="408">
        <v>1463.32</v>
      </c>
      <c r="Z121" s="403"/>
    </row>
    <row r="122" spans="2:26" x14ac:dyDescent="0.3">
      <c r="B122" s="407" t="s">
        <v>802</v>
      </c>
      <c r="C122" s="404" t="s">
        <v>853</v>
      </c>
      <c r="D122" s="406">
        <v>-76112.459999999992</v>
      </c>
      <c r="E122" s="406">
        <v>-3001.2799999999997</v>
      </c>
      <c r="F122" s="404" t="s">
        <v>15</v>
      </c>
      <c r="G122" s="404" t="s">
        <v>1085</v>
      </c>
      <c r="H122" s="336" t="s">
        <v>1692</v>
      </c>
      <c r="I122" s="405" t="s">
        <v>856</v>
      </c>
      <c r="J122" s="336" t="s">
        <v>1693</v>
      </c>
      <c r="K122" s="336" t="s">
        <v>1761</v>
      </c>
      <c r="L122" s="336" t="s">
        <v>1483</v>
      </c>
      <c r="M122" s="336" t="s">
        <v>826</v>
      </c>
      <c r="N122" s="336" t="s">
        <v>802</v>
      </c>
      <c r="O122" s="408">
        <v>76112.459999999992</v>
      </c>
      <c r="P122" s="408">
        <v>3001.2799999999997</v>
      </c>
      <c r="Q122" s="405" t="s">
        <v>15</v>
      </c>
      <c r="R122" s="405" t="s">
        <v>1663</v>
      </c>
      <c r="S122" s="336" t="s">
        <v>1694</v>
      </c>
      <c r="T122" s="403"/>
      <c r="U122" s="403"/>
      <c r="V122" s="403"/>
      <c r="W122" s="403"/>
      <c r="X122" s="403"/>
      <c r="Y122" s="403"/>
      <c r="Z122" s="408">
        <v>76112.459999999992</v>
      </c>
    </row>
    <row r="123" spans="2:26" x14ac:dyDescent="0.3">
      <c r="B123" s="407" t="s">
        <v>826</v>
      </c>
      <c r="C123" s="404" t="s">
        <v>855</v>
      </c>
      <c r="D123" s="406">
        <v>76112.459999999992</v>
      </c>
      <c r="E123" s="406">
        <v>3001.2799999999997</v>
      </c>
      <c r="F123" s="404" t="s">
        <v>15</v>
      </c>
      <c r="G123" s="404" t="s">
        <v>1085</v>
      </c>
      <c r="H123" s="336" t="s">
        <v>1692</v>
      </c>
      <c r="I123" s="405" t="s">
        <v>856</v>
      </c>
      <c r="J123" s="336" t="s">
        <v>1693</v>
      </c>
      <c r="K123" s="336" t="s">
        <v>1761</v>
      </c>
      <c r="L123" s="336" t="s">
        <v>1483</v>
      </c>
      <c r="M123" s="336" t="s">
        <v>826</v>
      </c>
      <c r="N123" s="336" t="s">
        <v>802</v>
      </c>
      <c r="O123" s="408">
        <v>76112.459999999992</v>
      </c>
      <c r="P123" s="408">
        <v>3001.2799999999997</v>
      </c>
      <c r="Q123" s="405" t="s">
        <v>15</v>
      </c>
      <c r="R123" s="405" t="s">
        <v>1663</v>
      </c>
      <c r="S123" s="336" t="s">
        <v>1694</v>
      </c>
      <c r="T123" s="403"/>
      <c r="U123" s="403"/>
      <c r="V123" s="403"/>
      <c r="W123" s="403"/>
      <c r="X123" s="403"/>
      <c r="Y123" s="408">
        <v>76112.459999999992</v>
      </c>
      <c r="Z123" s="403"/>
    </row>
    <row r="124" spans="2:26" x14ac:dyDescent="0.3">
      <c r="B124" s="407" t="s">
        <v>802</v>
      </c>
      <c r="C124" s="404" t="s">
        <v>853</v>
      </c>
      <c r="D124" s="406">
        <v>-6921.2</v>
      </c>
      <c r="E124" s="406">
        <v>0</v>
      </c>
      <c r="F124" s="403"/>
      <c r="G124" s="404" t="s">
        <v>1085</v>
      </c>
      <c r="H124" s="336" t="s">
        <v>1692</v>
      </c>
      <c r="I124" s="405" t="s">
        <v>856</v>
      </c>
      <c r="J124" s="336" t="s">
        <v>1695</v>
      </c>
      <c r="K124" s="336" t="s">
        <v>1774</v>
      </c>
      <c r="L124" s="336" t="s">
        <v>1483</v>
      </c>
      <c r="M124" s="336" t="s">
        <v>826</v>
      </c>
      <c r="N124" s="336" t="s">
        <v>802</v>
      </c>
      <c r="O124" s="408">
        <v>6921.2</v>
      </c>
      <c r="P124" s="408">
        <v>0</v>
      </c>
      <c r="Q124" s="403"/>
      <c r="R124" s="403"/>
      <c r="S124" s="336" t="s">
        <v>1697</v>
      </c>
      <c r="T124" s="403"/>
      <c r="U124" s="403"/>
      <c r="V124" s="403"/>
      <c r="W124" s="403"/>
      <c r="X124" s="403"/>
      <c r="Y124" s="403"/>
      <c r="Z124" s="408">
        <v>6921.2</v>
      </c>
    </row>
    <row r="125" spans="2:26" x14ac:dyDescent="0.3">
      <c r="B125" s="407" t="s">
        <v>826</v>
      </c>
      <c r="C125" s="404" t="s">
        <v>855</v>
      </c>
      <c r="D125" s="406">
        <v>6921.2</v>
      </c>
      <c r="E125" s="406">
        <v>0</v>
      </c>
      <c r="F125" s="403"/>
      <c r="G125" s="404" t="s">
        <v>1085</v>
      </c>
      <c r="H125" s="336" t="s">
        <v>1692</v>
      </c>
      <c r="I125" s="405" t="s">
        <v>856</v>
      </c>
      <c r="J125" s="336" t="s">
        <v>1695</v>
      </c>
      <c r="K125" s="336" t="s">
        <v>1774</v>
      </c>
      <c r="L125" s="336" t="s">
        <v>1483</v>
      </c>
      <c r="M125" s="336" t="s">
        <v>826</v>
      </c>
      <c r="N125" s="336" t="s">
        <v>802</v>
      </c>
      <c r="O125" s="408">
        <v>6921.2</v>
      </c>
      <c r="P125" s="408">
        <v>0</v>
      </c>
      <c r="Q125" s="403"/>
      <c r="R125" s="403"/>
      <c r="S125" s="336" t="s">
        <v>1697</v>
      </c>
      <c r="T125" s="403"/>
      <c r="U125" s="403"/>
      <c r="V125" s="403"/>
      <c r="W125" s="403"/>
      <c r="X125" s="403"/>
      <c r="Y125" s="408">
        <v>6921.2</v>
      </c>
      <c r="Z125" s="403"/>
    </row>
    <row r="126" spans="2:26" x14ac:dyDescent="0.3">
      <c r="B126" s="407" t="s">
        <v>834</v>
      </c>
      <c r="C126" s="404" t="s">
        <v>853</v>
      </c>
      <c r="D126" s="406">
        <v>-2976065.64</v>
      </c>
      <c r="E126" s="406">
        <v>-118356.16</v>
      </c>
      <c r="F126" s="404" t="s">
        <v>15</v>
      </c>
      <c r="G126" s="404" t="s">
        <v>1085</v>
      </c>
      <c r="H126" s="336" t="s">
        <v>1692</v>
      </c>
      <c r="I126" s="405" t="s">
        <v>865</v>
      </c>
      <c r="J126" s="336" t="s">
        <v>1698</v>
      </c>
      <c r="K126" s="336" t="s">
        <v>1699</v>
      </c>
      <c r="L126" s="403"/>
      <c r="M126" s="336" t="s">
        <v>772</v>
      </c>
      <c r="N126" s="336" t="s">
        <v>834</v>
      </c>
      <c r="O126" s="408">
        <v>2976065.64</v>
      </c>
      <c r="P126" s="408">
        <v>118356.16</v>
      </c>
      <c r="Q126" s="405" t="s">
        <v>15</v>
      </c>
      <c r="R126" s="405" t="s">
        <v>1700</v>
      </c>
      <c r="S126" s="336" t="s">
        <v>1518</v>
      </c>
      <c r="T126" s="403"/>
      <c r="U126" s="403"/>
      <c r="V126" s="403"/>
      <c r="W126" s="403"/>
      <c r="X126" s="403"/>
      <c r="Y126" s="403"/>
      <c r="Z126" s="408">
        <v>2976065.64</v>
      </c>
    </row>
    <row r="127" spans="2:26" x14ac:dyDescent="0.3">
      <c r="B127" s="407" t="s">
        <v>772</v>
      </c>
      <c r="C127" s="404" t="s">
        <v>855</v>
      </c>
      <c r="D127" s="406">
        <v>2976065.64</v>
      </c>
      <c r="E127" s="406">
        <v>118356.16</v>
      </c>
      <c r="F127" s="404" t="s">
        <v>15</v>
      </c>
      <c r="G127" s="404" t="s">
        <v>1085</v>
      </c>
      <c r="H127" s="336" t="s">
        <v>1692</v>
      </c>
      <c r="I127" s="405" t="s">
        <v>865</v>
      </c>
      <c r="J127" s="336" t="s">
        <v>1698</v>
      </c>
      <c r="K127" s="336" t="s">
        <v>1699</v>
      </c>
      <c r="L127" s="403"/>
      <c r="M127" s="336" t="s">
        <v>772</v>
      </c>
      <c r="N127" s="336" t="s">
        <v>834</v>
      </c>
      <c r="O127" s="408">
        <v>2976065.64</v>
      </c>
      <c r="P127" s="408">
        <v>118356.16</v>
      </c>
      <c r="Q127" s="405" t="s">
        <v>15</v>
      </c>
      <c r="R127" s="405" t="s">
        <v>1700</v>
      </c>
      <c r="S127" s="336" t="s">
        <v>1518</v>
      </c>
      <c r="T127" s="403"/>
      <c r="U127" s="403"/>
      <c r="V127" s="403"/>
      <c r="W127" s="403"/>
      <c r="X127" s="403"/>
      <c r="Y127" s="408">
        <v>2976065.64</v>
      </c>
      <c r="Z127" s="403"/>
    </row>
    <row r="128" spans="2:26" x14ac:dyDescent="0.3">
      <c r="B128" s="407" t="s">
        <v>818</v>
      </c>
      <c r="C128" s="404" t="s">
        <v>853</v>
      </c>
      <c r="D128" s="406">
        <v>-2828812.5</v>
      </c>
      <c r="E128" s="406">
        <v>-112500</v>
      </c>
      <c r="F128" s="404" t="s">
        <v>15</v>
      </c>
      <c r="G128" s="404" t="s">
        <v>1085</v>
      </c>
      <c r="H128" s="336" t="s">
        <v>1692</v>
      </c>
      <c r="I128" s="405" t="s">
        <v>865</v>
      </c>
      <c r="J128" s="336" t="s">
        <v>1701</v>
      </c>
      <c r="K128" s="336" t="s">
        <v>1702</v>
      </c>
      <c r="L128" s="403"/>
      <c r="M128" s="336" t="s">
        <v>828</v>
      </c>
      <c r="N128" s="336" t="s">
        <v>818</v>
      </c>
      <c r="O128" s="408">
        <v>2828812.5</v>
      </c>
      <c r="P128" s="408">
        <v>112500</v>
      </c>
      <c r="Q128" s="405" t="s">
        <v>15</v>
      </c>
      <c r="R128" s="405" t="s">
        <v>1700</v>
      </c>
      <c r="S128" s="336" t="s">
        <v>1517</v>
      </c>
      <c r="T128" s="403"/>
      <c r="U128" s="403"/>
      <c r="V128" s="403"/>
      <c r="W128" s="403"/>
      <c r="X128" s="403"/>
      <c r="Y128" s="403"/>
      <c r="Z128" s="408">
        <v>2828812.5</v>
      </c>
    </row>
    <row r="129" spans="2:26" x14ac:dyDescent="0.3">
      <c r="B129" s="407" t="s">
        <v>828</v>
      </c>
      <c r="C129" s="404" t="s">
        <v>855</v>
      </c>
      <c r="D129" s="406">
        <v>2828812.5</v>
      </c>
      <c r="E129" s="406">
        <v>112500</v>
      </c>
      <c r="F129" s="404" t="s">
        <v>15</v>
      </c>
      <c r="G129" s="404" t="s">
        <v>1085</v>
      </c>
      <c r="H129" s="336" t="s">
        <v>1692</v>
      </c>
      <c r="I129" s="405" t="s">
        <v>865</v>
      </c>
      <c r="J129" s="336" t="s">
        <v>1701</v>
      </c>
      <c r="K129" s="336" t="s">
        <v>1702</v>
      </c>
      <c r="L129" s="403"/>
      <c r="M129" s="336" t="s">
        <v>828</v>
      </c>
      <c r="N129" s="336" t="s">
        <v>818</v>
      </c>
      <c r="O129" s="408">
        <v>2828812.5</v>
      </c>
      <c r="P129" s="408">
        <v>112500</v>
      </c>
      <c r="Q129" s="405" t="s">
        <v>15</v>
      </c>
      <c r="R129" s="405" t="s">
        <v>1700</v>
      </c>
      <c r="S129" s="336" t="s">
        <v>1517</v>
      </c>
      <c r="T129" s="403"/>
      <c r="U129" s="403"/>
      <c r="V129" s="403"/>
      <c r="W129" s="403"/>
      <c r="X129" s="403"/>
      <c r="Y129" s="408">
        <v>2828812.5</v>
      </c>
      <c r="Z129" s="403"/>
    </row>
    <row r="130" spans="2:26" x14ac:dyDescent="0.3">
      <c r="B130" s="407" t="s">
        <v>800</v>
      </c>
      <c r="C130" s="404" t="s">
        <v>853</v>
      </c>
      <c r="D130" s="406">
        <v>-6.03</v>
      </c>
      <c r="E130" s="406">
        <v>-0.24000000000000002</v>
      </c>
      <c r="F130" s="404" t="s">
        <v>15</v>
      </c>
      <c r="G130" s="404" t="s">
        <v>1085</v>
      </c>
      <c r="H130" s="336" t="s">
        <v>1692</v>
      </c>
      <c r="I130" s="405" t="s">
        <v>866</v>
      </c>
      <c r="J130" s="336" t="s">
        <v>1089</v>
      </c>
      <c r="K130" s="336" t="s">
        <v>869</v>
      </c>
      <c r="L130" s="403"/>
      <c r="M130" s="336" t="s">
        <v>832</v>
      </c>
      <c r="N130" s="336" t="s">
        <v>800</v>
      </c>
      <c r="O130" s="408">
        <v>6.03</v>
      </c>
      <c r="P130" s="408">
        <v>0.24000000000000002</v>
      </c>
      <c r="Q130" s="405" t="s">
        <v>15</v>
      </c>
      <c r="R130" s="405" t="s">
        <v>1700</v>
      </c>
      <c r="S130" s="403"/>
      <c r="T130" s="403"/>
      <c r="U130" s="403"/>
      <c r="V130" s="403"/>
      <c r="W130" s="403"/>
      <c r="X130" s="403"/>
      <c r="Y130" s="403"/>
      <c r="Z130" s="408">
        <v>6.03</v>
      </c>
    </row>
    <row r="131" spans="2:26" x14ac:dyDescent="0.3">
      <c r="B131" s="407" t="s">
        <v>832</v>
      </c>
      <c r="C131" s="404" t="s">
        <v>855</v>
      </c>
      <c r="D131" s="406">
        <v>6.03</v>
      </c>
      <c r="E131" s="406">
        <v>0.24000000000000002</v>
      </c>
      <c r="F131" s="404" t="s">
        <v>15</v>
      </c>
      <c r="G131" s="404" t="s">
        <v>1085</v>
      </c>
      <c r="H131" s="336" t="s">
        <v>1692</v>
      </c>
      <c r="I131" s="405" t="s">
        <v>866</v>
      </c>
      <c r="J131" s="336" t="s">
        <v>1089</v>
      </c>
      <c r="K131" s="336" t="s">
        <v>869</v>
      </c>
      <c r="L131" s="403"/>
      <c r="M131" s="336" t="s">
        <v>832</v>
      </c>
      <c r="N131" s="336" t="s">
        <v>800</v>
      </c>
      <c r="O131" s="408">
        <v>6.03</v>
      </c>
      <c r="P131" s="408">
        <v>0.24000000000000002</v>
      </c>
      <c r="Q131" s="405" t="s">
        <v>15</v>
      </c>
      <c r="R131" s="405" t="s">
        <v>1700</v>
      </c>
      <c r="S131" s="403"/>
      <c r="T131" s="403"/>
      <c r="U131" s="403"/>
      <c r="V131" s="403"/>
      <c r="W131" s="403"/>
      <c r="X131" s="403"/>
      <c r="Y131" s="408">
        <v>6.03</v>
      </c>
      <c r="Z131" s="403"/>
    </row>
    <row r="132" spans="2:26" x14ac:dyDescent="0.3">
      <c r="B132" s="407" t="s">
        <v>800</v>
      </c>
      <c r="C132" s="404" t="s">
        <v>853</v>
      </c>
      <c r="D132" s="406">
        <v>-29.919999999999998</v>
      </c>
      <c r="E132" s="406">
        <v>-1.1900000000000002</v>
      </c>
      <c r="F132" s="404" t="s">
        <v>15</v>
      </c>
      <c r="G132" s="404" t="s">
        <v>1085</v>
      </c>
      <c r="H132" s="336" t="s">
        <v>1692</v>
      </c>
      <c r="I132" s="405" t="s">
        <v>866</v>
      </c>
      <c r="J132" s="336" t="s">
        <v>1090</v>
      </c>
      <c r="K132" s="336" t="s">
        <v>869</v>
      </c>
      <c r="L132" s="403"/>
      <c r="M132" s="336" t="s">
        <v>832</v>
      </c>
      <c r="N132" s="336" t="s">
        <v>800</v>
      </c>
      <c r="O132" s="408">
        <v>29.919999999999998</v>
      </c>
      <c r="P132" s="408">
        <v>1.1900000000000002</v>
      </c>
      <c r="Q132" s="405" t="s">
        <v>15</v>
      </c>
      <c r="R132" s="405" t="s">
        <v>1700</v>
      </c>
      <c r="S132" s="403"/>
      <c r="T132" s="403"/>
      <c r="U132" s="403"/>
      <c r="V132" s="403"/>
      <c r="W132" s="403"/>
      <c r="X132" s="403"/>
      <c r="Y132" s="403"/>
      <c r="Z132" s="408">
        <v>29.919999999999998</v>
      </c>
    </row>
    <row r="133" spans="2:26" x14ac:dyDescent="0.3">
      <c r="B133" s="407" t="s">
        <v>832</v>
      </c>
      <c r="C133" s="404" t="s">
        <v>855</v>
      </c>
      <c r="D133" s="406">
        <v>29.919999999999998</v>
      </c>
      <c r="E133" s="406">
        <v>1.1900000000000002</v>
      </c>
      <c r="F133" s="404" t="s">
        <v>15</v>
      </c>
      <c r="G133" s="404" t="s">
        <v>1085</v>
      </c>
      <c r="H133" s="336" t="s">
        <v>1692</v>
      </c>
      <c r="I133" s="405" t="s">
        <v>866</v>
      </c>
      <c r="J133" s="336" t="s">
        <v>1090</v>
      </c>
      <c r="K133" s="336" t="s">
        <v>869</v>
      </c>
      <c r="L133" s="403"/>
      <c r="M133" s="336" t="s">
        <v>832</v>
      </c>
      <c r="N133" s="336" t="s">
        <v>800</v>
      </c>
      <c r="O133" s="408">
        <v>29.919999999999998</v>
      </c>
      <c r="P133" s="408">
        <v>1.1900000000000002</v>
      </c>
      <c r="Q133" s="405" t="s">
        <v>15</v>
      </c>
      <c r="R133" s="405" t="s">
        <v>1700</v>
      </c>
      <c r="S133" s="403"/>
      <c r="T133" s="403"/>
      <c r="U133" s="403"/>
      <c r="V133" s="403"/>
      <c r="W133" s="403"/>
      <c r="X133" s="403"/>
      <c r="Y133" s="408">
        <v>29.919999999999998</v>
      </c>
      <c r="Z133" s="403"/>
    </row>
    <row r="134" spans="2:26" x14ac:dyDescent="0.3">
      <c r="B134" s="407" t="s">
        <v>800</v>
      </c>
      <c r="C134" s="404" t="s">
        <v>853</v>
      </c>
      <c r="D134" s="406">
        <v>-194.87</v>
      </c>
      <c r="E134" s="406">
        <v>-7.75</v>
      </c>
      <c r="F134" s="404" t="s">
        <v>15</v>
      </c>
      <c r="G134" s="404" t="s">
        <v>1085</v>
      </c>
      <c r="H134" s="336" t="s">
        <v>1692</v>
      </c>
      <c r="I134" s="405" t="s">
        <v>866</v>
      </c>
      <c r="J134" s="336" t="s">
        <v>1092</v>
      </c>
      <c r="K134" s="336" t="s">
        <v>869</v>
      </c>
      <c r="L134" s="403"/>
      <c r="M134" s="336" t="s">
        <v>832</v>
      </c>
      <c r="N134" s="336" t="s">
        <v>800</v>
      </c>
      <c r="O134" s="408">
        <v>194.87</v>
      </c>
      <c r="P134" s="408">
        <v>7.75</v>
      </c>
      <c r="Q134" s="405" t="s">
        <v>15</v>
      </c>
      <c r="R134" s="405" t="s">
        <v>1700</v>
      </c>
      <c r="S134" s="403"/>
      <c r="T134" s="403"/>
      <c r="U134" s="403"/>
      <c r="V134" s="403"/>
      <c r="W134" s="403"/>
      <c r="X134" s="403"/>
      <c r="Y134" s="403"/>
      <c r="Z134" s="408">
        <v>194.87</v>
      </c>
    </row>
    <row r="135" spans="2:26" x14ac:dyDescent="0.3">
      <c r="B135" s="407" t="s">
        <v>832</v>
      </c>
      <c r="C135" s="404" t="s">
        <v>855</v>
      </c>
      <c r="D135" s="406">
        <v>194.87</v>
      </c>
      <c r="E135" s="406">
        <v>7.75</v>
      </c>
      <c r="F135" s="404" t="s">
        <v>15</v>
      </c>
      <c r="G135" s="404" t="s">
        <v>1085</v>
      </c>
      <c r="H135" s="336" t="s">
        <v>1692</v>
      </c>
      <c r="I135" s="405" t="s">
        <v>866</v>
      </c>
      <c r="J135" s="336" t="s">
        <v>1092</v>
      </c>
      <c r="K135" s="336" t="s">
        <v>869</v>
      </c>
      <c r="L135" s="403"/>
      <c r="M135" s="336" t="s">
        <v>832</v>
      </c>
      <c r="N135" s="336" t="s">
        <v>800</v>
      </c>
      <c r="O135" s="408">
        <v>194.87</v>
      </c>
      <c r="P135" s="408">
        <v>7.75</v>
      </c>
      <c r="Q135" s="405" t="s">
        <v>15</v>
      </c>
      <c r="R135" s="405" t="s">
        <v>1700</v>
      </c>
      <c r="S135" s="403"/>
      <c r="T135" s="403"/>
      <c r="U135" s="403"/>
      <c r="V135" s="403"/>
      <c r="W135" s="403"/>
      <c r="X135" s="403"/>
      <c r="Y135" s="408">
        <v>194.87</v>
      </c>
      <c r="Z135" s="403"/>
    </row>
    <row r="136" spans="2:26" x14ac:dyDescent="0.3">
      <c r="B136" s="407" t="s">
        <v>800</v>
      </c>
      <c r="C136" s="404" t="s">
        <v>853</v>
      </c>
      <c r="D136" s="406">
        <v>-319.84000000000003</v>
      </c>
      <c r="E136" s="406">
        <v>-12.719999999999999</v>
      </c>
      <c r="F136" s="404" t="s">
        <v>15</v>
      </c>
      <c r="G136" s="404" t="s">
        <v>1085</v>
      </c>
      <c r="H136" s="336" t="s">
        <v>1692</v>
      </c>
      <c r="I136" s="405" t="s">
        <v>866</v>
      </c>
      <c r="J136" s="336" t="s">
        <v>1094</v>
      </c>
      <c r="K136" s="336" t="s">
        <v>869</v>
      </c>
      <c r="L136" s="403"/>
      <c r="M136" s="336" t="s">
        <v>832</v>
      </c>
      <c r="N136" s="336" t="s">
        <v>800</v>
      </c>
      <c r="O136" s="408">
        <v>319.84000000000003</v>
      </c>
      <c r="P136" s="408">
        <v>12.719999999999999</v>
      </c>
      <c r="Q136" s="405" t="s">
        <v>15</v>
      </c>
      <c r="R136" s="405" t="s">
        <v>1700</v>
      </c>
      <c r="S136" s="403"/>
      <c r="T136" s="403"/>
      <c r="U136" s="403"/>
      <c r="V136" s="403"/>
      <c r="W136" s="403"/>
      <c r="X136" s="403"/>
      <c r="Y136" s="403"/>
      <c r="Z136" s="408">
        <v>319.84000000000003</v>
      </c>
    </row>
    <row r="137" spans="2:26" x14ac:dyDescent="0.3">
      <c r="B137" s="407" t="s">
        <v>832</v>
      </c>
      <c r="C137" s="404" t="s">
        <v>855</v>
      </c>
      <c r="D137" s="406">
        <v>319.84000000000003</v>
      </c>
      <c r="E137" s="406">
        <v>12.719999999999999</v>
      </c>
      <c r="F137" s="404" t="s">
        <v>15</v>
      </c>
      <c r="G137" s="404" t="s">
        <v>1085</v>
      </c>
      <c r="H137" s="336" t="s">
        <v>1692</v>
      </c>
      <c r="I137" s="405" t="s">
        <v>866</v>
      </c>
      <c r="J137" s="336" t="s">
        <v>1094</v>
      </c>
      <c r="K137" s="336" t="s">
        <v>869</v>
      </c>
      <c r="L137" s="403"/>
      <c r="M137" s="336" t="s">
        <v>832</v>
      </c>
      <c r="N137" s="336" t="s">
        <v>800</v>
      </c>
      <c r="O137" s="408">
        <v>319.84000000000003</v>
      </c>
      <c r="P137" s="408">
        <v>12.719999999999999</v>
      </c>
      <c r="Q137" s="405" t="s">
        <v>15</v>
      </c>
      <c r="R137" s="405" t="s">
        <v>1700</v>
      </c>
      <c r="S137" s="403"/>
      <c r="T137" s="403"/>
      <c r="U137" s="403"/>
      <c r="V137" s="403"/>
      <c r="W137" s="403"/>
      <c r="X137" s="403"/>
      <c r="Y137" s="408">
        <v>319.84000000000003</v>
      </c>
      <c r="Z137" s="403"/>
    </row>
    <row r="138" spans="2:26" x14ac:dyDescent="0.3">
      <c r="B138" s="407" t="s">
        <v>800</v>
      </c>
      <c r="C138" s="404" t="s">
        <v>853</v>
      </c>
      <c r="D138" s="406">
        <v>-5.94</v>
      </c>
      <c r="E138" s="406">
        <v>-0.24000000000000002</v>
      </c>
      <c r="F138" s="404" t="s">
        <v>15</v>
      </c>
      <c r="G138" s="404" t="s">
        <v>1103</v>
      </c>
      <c r="H138" s="336" t="s">
        <v>1703</v>
      </c>
      <c r="I138" s="405" t="s">
        <v>866</v>
      </c>
      <c r="J138" s="336" t="s">
        <v>1105</v>
      </c>
      <c r="K138" s="336" t="s">
        <v>869</v>
      </c>
      <c r="L138" s="403"/>
      <c r="M138" s="336" t="s">
        <v>832</v>
      </c>
      <c r="N138" s="336" t="s">
        <v>800</v>
      </c>
      <c r="O138" s="408">
        <v>5.94</v>
      </c>
      <c r="P138" s="408">
        <v>0.24000000000000002</v>
      </c>
      <c r="Q138" s="405" t="s">
        <v>15</v>
      </c>
      <c r="R138" s="405" t="s">
        <v>1704</v>
      </c>
      <c r="S138" s="403"/>
      <c r="T138" s="403"/>
      <c r="U138" s="403"/>
      <c r="V138" s="403"/>
      <c r="W138" s="403"/>
      <c r="X138" s="403"/>
      <c r="Y138" s="403"/>
      <c r="Z138" s="408">
        <v>5.94</v>
      </c>
    </row>
    <row r="139" spans="2:26" x14ac:dyDescent="0.3">
      <c r="B139" s="407" t="s">
        <v>832</v>
      </c>
      <c r="C139" s="404" t="s">
        <v>855</v>
      </c>
      <c r="D139" s="406">
        <v>5.94</v>
      </c>
      <c r="E139" s="406">
        <v>0.24000000000000002</v>
      </c>
      <c r="F139" s="404" t="s">
        <v>15</v>
      </c>
      <c r="G139" s="404" t="s">
        <v>1103</v>
      </c>
      <c r="H139" s="336" t="s">
        <v>1703</v>
      </c>
      <c r="I139" s="405" t="s">
        <v>866</v>
      </c>
      <c r="J139" s="336" t="s">
        <v>1105</v>
      </c>
      <c r="K139" s="336" t="s">
        <v>869</v>
      </c>
      <c r="L139" s="403"/>
      <c r="M139" s="336" t="s">
        <v>832</v>
      </c>
      <c r="N139" s="336" t="s">
        <v>800</v>
      </c>
      <c r="O139" s="408">
        <v>5.94</v>
      </c>
      <c r="P139" s="408">
        <v>0.24000000000000002</v>
      </c>
      <c r="Q139" s="405" t="s">
        <v>15</v>
      </c>
      <c r="R139" s="405" t="s">
        <v>1704</v>
      </c>
      <c r="S139" s="403"/>
      <c r="T139" s="403"/>
      <c r="U139" s="403"/>
      <c r="V139" s="403"/>
      <c r="W139" s="403"/>
      <c r="X139" s="403"/>
      <c r="Y139" s="408">
        <v>5.94</v>
      </c>
      <c r="Z139" s="403"/>
    </row>
    <row r="140" spans="2:26" x14ac:dyDescent="0.3">
      <c r="B140" s="407" t="s">
        <v>800</v>
      </c>
      <c r="C140" s="404" t="s">
        <v>853</v>
      </c>
      <c r="D140" s="406">
        <v>-32709.280000000002</v>
      </c>
      <c r="E140" s="406">
        <v>-1321.32</v>
      </c>
      <c r="F140" s="404" t="s">
        <v>15</v>
      </c>
      <c r="G140" s="404" t="s">
        <v>1103</v>
      </c>
      <c r="H140" s="336" t="s">
        <v>1703</v>
      </c>
      <c r="I140" s="405" t="s">
        <v>866</v>
      </c>
      <c r="J140" s="336" t="s">
        <v>1107</v>
      </c>
      <c r="K140" s="336" t="s">
        <v>1775</v>
      </c>
      <c r="L140" s="336" t="s">
        <v>1483</v>
      </c>
      <c r="M140" s="336" t="s">
        <v>802</v>
      </c>
      <c r="N140" s="336" t="s">
        <v>800</v>
      </c>
      <c r="O140" s="408">
        <v>32709.280000000002</v>
      </c>
      <c r="P140" s="408">
        <v>1321.32</v>
      </c>
      <c r="Q140" s="405" t="s">
        <v>15</v>
      </c>
      <c r="R140" s="405" t="s">
        <v>1704</v>
      </c>
      <c r="S140" s="336" t="s">
        <v>1683</v>
      </c>
      <c r="T140" s="403"/>
      <c r="U140" s="403"/>
      <c r="V140" s="403"/>
      <c r="W140" s="403"/>
      <c r="X140" s="403"/>
      <c r="Y140" s="403"/>
      <c r="Z140" s="408">
        <v>32709.280000000002</v>
      </c>
    </row>
    <row r="141" spans="2:26" x14ac:dyDescent="0.3">
      <c r="B141" s="407" t="s">
        <v>802</v>
      </c>
      <c r="C141" s="404" t="s">
        <v>855</v>
      </c>
      <c r="D141" s="406">
        <v>32709.280000000002</v>
      </c>
      <c r="E141" s="406">
        <v>1321.32</v>
      </c>
      <c r="F141" s="404" t="s">
        <v>15</v>
      </c>
      <c r="G141" s="404" t="s">
        <v>1103</v>
      </c>
      <c r="H141" s="336" t="s">
        <v>1703</v>
      </c>
      <c r="I141" s="405" t="s">
        <v>866</v>
      </c>
      <c r="J141" s="336" t="s">
        <v>1107</v>
      </c>
      <c r="K141" s="336" t="s">
        <v>1775</v>
      </c>
      <c r="L141" s="336" t="s">
        <v>1483</v>
      </c>
      <c r="M141" s="336" t="s">
        <v>802</v>
      </c>
      <c r="N141" s="336" t="s">
        <v>800</v>
      </c>
      <c r="O141" s="408">
        <v>32709.280000000002</v>
      </c>
      <c r="P141" s="408">
        <v>1321.32</v>
      </c>
      <c r="Q141" s="405" t="s">
        <v>15</v>
      </c>
      <c r="R141" s="405" t="s">
        <v>1704</v>
      </c>
      <c r="S141" s="336" t="s">
        <v>1683</v>
      </c>
      <c r="T141" s="403"/>
      <c r="U141" s="403"/>
      <c r="V141" s="403"/>
      <c r="W141" s="403"/>
      <c r="X141" s="403"/>
      <c r="Y141" s="408">
        <v>32709.280000000002</v>
      </c>
      <c r="Z141" s="403"/>
    </row>
    <row r="142" spans="2:26" x14ac:dyDescent="0.3">
      <c r="B142" s="407" t="s">
        <v>835</v>
      </c>
      <c r="C142" s="404" t="s">
        <v>853</v>
      </c>
      <c r="D142" s="406">
        <v>-759.76</v>
      </c>
      <c r="E142" s="406">
        <v>0</v>
      </c>
      <c r="F142" s="404" t="s">
        <v>15</v>
      </c>
      <c r="G142" s="404" t="s">
        <v>1103</v>
      </c>
      <c r="H142" s="336" t="s">
        <v>1703</v>
      </c>
      <c r="I142" s="405" t="s">
        <v>866</v>
      </c>
      <c r="J142" s="336" t="s">
        <v>1107</v>
      </c>
      <c r="K142" s="336" t="s">
        <v>877</v>
      </c>
      <c r="L142" s="336" t="s">
        <v>1483</v>
      </c>
      <c r="M142" s="336" t="s">
        <v>802</v>
      </c>
      <c r="N142" s="336" t="s">
        <v>835</v>
      </c>
      <c r="O142" s="408">
        <v>759.76</v>
      </c>
      <c r="P142" s="408">
        <v>0</v>
      </c>
      <c r="Q142" s="405" t="s">
        <v>15</v>
      </c>
      <c r="R142" s="405" t="s">
        <v>1704</v>
      </c>
      <c r="S142" s="336" t="s">
        <v>1683</v>
      </c>
      <c r="T142" s="403"/>
      <c r="U142" s="403"/>
      <c r="V142" s="403"/>
      <c r="W142" s="403"/>
      <c r="X142" s="403"/>
      <c r="Y142" s="403"/>
      <c r="Z142" s="408">
        <v>759.76</v>
      </c>
    </row>
    <row r="143" spans="2:26" x14ac:dyDescent="0.3">
      <c r="B143" s="407" t="s">
        <v>802</v>
      </c>
      <c r="C143" s="404" t="s">
        <v>855</v>
      </c>
      <c r="D143" s="406">
        <v>759.76</v>
      </c>
      <c r="E143" s="406">
        <v>0</v>
      </c>
      <c r="F143" s="404" t="s">
        <v>15</v>
      </c>
      <c r="G143" s="404" t="s">
        <v>1103</v>
      </c>
      <c r="H143" s="336" t="s">
        <v>1703</v>
      </c>
      <c r="I143" s="405" t="s">
        <v>866</v>
      </c>
      <c r="J143" s="336" t="s">
        <v>1107</v>
      </c>
      <c r="K143" s="336" t="s">
        <v>877</v>
      </c>
      <c r="L143" s="336" t="s">
        <v>1483</v>
      </c>
      <c r="M143" s="336" t="s">
        <v>802</v>
      </c>
      <c r="N143" s="336" t="s">
        <v>835</v>
      </c>
      <c r="O143" s="408">
        <v>759.76</v>
      </c>
      <c r="P143" s="408">
        <v>0</v>
      </c>
      <c r="Q143" s="405" t="s">
        <v>15</v>
      </c>
      <c r="R143" s="405" t="s">
        <v>1704</v>
      </c>
      <c r="S143" s="336" t="s">
        <v>1683</v>
      </c>
      <c r="T143" s="403"/>
      <c r="U143" s="403"/>
      <c r="V143" s="403"/>
      <c r="W143" s="403"/>
      <c r="X143" s="403"/>
      <c r="Y143" s="408">
        <v>759.76</v>
      </c>
      <c r="Z143" s="403"/>
    </row>
    <row r="144" spans="2:26" x14ac:dyDescent="0.3">
      <c r="B144" s="407" t="s">
        <v>800</v>
      </c>
      <c r="C144" s="404" t="s">
        <v>853</v>
      </c>
      <c r="D144" s="406">
        <v>-301299.08</v>
      </c>
      <c r="E144" s="406">
        <v>-12598.12</v>
      </c>
      <c r="F144" s="404" t="s">
        <v>15</v>
      </c>
      <c r="G144" s="404" t="s">
        <v>1103</v>
      </c>
      <c r="H144" s="336" t="s">
        <v>1703</v>
      </c>
      <c r="I144" s="405" t="s">
        <v>866</v>
      </c>
      <c r="J144" s="336" t="s">
        <v>1109</v>
      </c>
      <c r="K144" s="336" t="s">
        <v>1776</v>
      </c>
      <c r="L144" s="336" t="s">
        <v>1482</v>
      </c>
      <c r="M144" s="336" t="s">
        <v>802</v>
      </c>
      <c r="N144" s="336" t="s">
        <v>800</v>
      </c>
      <c r="O144" s="408">
        <v>301299.08</v>
      </c>
      <c r="P144" s="408">
        <v>12598.12</v>
      </c>
      <c r="Q144" s="405" t="s">
        <v>15</v>
      </c>
      <c r="R144" s="405" t="s">
        <v>1707</v>
      </c>
      <c r="S144" s="336" t="s">
        <v>1674</v>
      </c>
      <c r="T144" s="403"/>
      <c r="U144" s="403"/>
      <c r="V144" s="403"/>
      <c r="W144" s="403"/>
      <c r="X144" s="403"/>
      <c r="Y144" s="403"/>
      <c r="Z144" s="408">
        <v>301299.08</v>
      </c>
    </row>
    <row r="145" spans="2:26" x14ac:dyDescent="0.3">
      <c r="B145" s="407" t="s">
        <v>802</v>
      </c>
      <c r="C145" s="404" t="s">
        <v>855</v>
      </c>
      <c r="D145" s="406">
        <v>301299.08</v>
      </c>
      <c r="E145" s="406">
        <v>12598.12</v>
      </c>
      <c r="F145" s="404" t="s">
        <v>15</v>
      </c>
      <c r="G145" s="404" t="s">
        <v>1103</v>
      </c>
      <c r="H145" s="336" t="s">
        <v>1703</v>
      </c>
      <c r="I145" s="405" t="s">
        <v>866</v>
      </c>
      <c r="J145" s="336" t="s">
        <v>1109</v>
      </c>
      <c r="K145" s="336" t="s">
        <v>1776</v>
      </c>
      <c r="L145" s="336" t="s">
        <v>1482</v>
      </c>
      <c r="M145" s="336" t="s">
        <v>802</v>
      </c>
      <c r="N145" s="336" t="s">
        <v>800</v>
      </c>
      <c r="O145" s="408">
        <v>301299.08</v>
      </c>
      <c r="P145" s="408">
        <v>12598.12</v>
      </c>
      <c r="Q145" s="405" t="s">
        <v>15</v>
      </c>
      <c r="R145" s="405" t="s">
        <v>1707</v>
      </c>
      <c r="S145" s="336" t="s">
        <v>1674</v>
      </c>
      <c r="T145" s="403"/>
      <c r="U145" s="403"/>
      <c r="V145" s="403"/>
      <c r="W145" s="403"/>
      <c r="X145" s="403"/>
      <c r="Y145" s="408">
        <v>301299.08</v>
      </c>
      <c r="Z145" s="403"/>
    </row>
    <row r="146" spans="2:26" x14ac:dyDescent="0.3">
      <c r="B146" s="407" t="s">
        <v>802</v>
      </c>
      <c r="C146" s="404" t="s">
        <v>853</v>
      </c>
      <c r="D146" s="406">
        <v>-42161.33</v>
      </c>
      <c r="E146" s="406">
        <v>-1702.8</v>
      </c>
      <c r="F146" s="404" t="s">
        <v>15</v>
      </c>
      <c r="G146" s="404" t="s">
        <v>1103</v>
      </c>
      <c r="H146" s="336" t="s">
        <v>1708</v>
      </c>
      <c r="I146" s="405" t="s">
        <v>856</v>
      </c>
      <c r="J146" s="336" t="s">
        <v>1709</v>
      </c>
      <c r="K146" s="336" t="s">
        <v>1288</v>
      </c>
      <c r="L146" s="336" t="s">
        <v>1503</v>
      </c>
      <c r="M146" s="336" t="s">
        <v>826</v>
      </c>
      <c r="N146" s="336" t="s">
        <v>802</v>
      </c>
      <c r="O146" s="408">
        <v>42161.33</v>
      </c>
      <c r="P146" s="408">
        <v>1702.8</v>
      </c>
      <c r="Q146" s="405" t="s">
        <v>15</v>
      </c>
      <c r="R146" s="405" t="s">
        <v>1710</v>
      </c>
      <c r="S146" s="336" t="s">
        <v>1711</v>
      </c>
      <c r="T146" s="403"/>
      <c r="U146" s="403"/>
      <c r="V146" s="403"/>
      <c r="W146" s="403"/>
      <c r="X146" s="403"/>
      <c r="Y146" s="403"/>
      <c r="Z146" s="408">
        <v>42161.33</v>
      </c>
    </row>
    <row r="147" spans="2:26" x14ac:dyDescent="0.3">
      <c r="B147" s="407" t="s">
        <v>826</v>
      </c>
      <c r="C147" s="404" t="s">
        <v>855</v>
      </c>
      <c r="D147" s="406">
        <v>42161.33</v>
      </c>
      <c r="E147" s="406">
        <v>1702.8</v>
      </c>
      <c r="F147" s="404" t="s">
        <v>15</v>
      </c>
      <c r="G147" s="404" t="s">
        <v>1103</v>
      </c>
      <c r="H147" s="336" t="s">
        <v>1708</v>
      </c>
      <c r="I147" s="405" t="s">
        <v>856</v>
      </c>
      <c r="J147" s="336" t="s">
        <v>1709</v>
      </c>
      <c r="K147" s="336" t="s">
        <v>1288</v>
      </c>
      <c r="L147" s="336" t="s">
        <v>1503</v>
      </c>
      <c r="M147" s="336" t="s">
        <v>826</v>
      </c>
      <c r="N147" s="336" t="s">
        <v>802</v>
      </c>
      <c r="O147" s="408">
        <v>42161.33</v>
      </c>
      <c r="P147" s="408">
        <v>1702.8</v>
      </c>
      <c r="Q147" s="405" t="s">
        <v>15</v>
      </c>
      <c r="R147" s="405" t="s">
        <v>1710</v>
      </c>
      <c r="S147" s="336" t="s">
        <v>1711</v>
      </c>
      <c r="T147" s="403"/>
      <c r="U147" s="403"/>
      <c r="V147" s="403"/>
      <c r="W147" s="403"/>
      <c r="X147" s="403"/>
      <c r="Y147" s="408">
        <v>42161.33</v>
      </c>
      <c r="Z147" s="403"/>
    </row>
    <row r="148" spans="2:26" x14ac:dyDescent="0.3">
      <c r="B148" s="407" t="s">
        <v>810</v>
      </c>
      <c r="C148" s="404" t="s">
        <v>853</v>
      </c>
      <c r="D148" s="406">
        <v>325248</v>
      </c>
      <c r="E148" s="406">
        <v>0</v>
      </c>
      <c r="F148" s="403"/>
      <c r="G148" s="404" t="s">
        <v>1103</v>
      </c>
      <c r="H148" s="336" t="s">
        <v>1708</v>
      </c>
      <c r="I148" s="405" t="s">
        <v>865</v>
      </c>
      <c r="J148" s="336" t="s">
        <v>1753</v>
      </c>
      <c r="K148" s="336" t="s">
        <v>1585</v>
      </c>
      <c r="L148" s="403"/>
      <c r="M148" s="336" t="s">
        <v>1000</v>
      </c>
      <c r="N148" s="336" t="s">
        <v>810</v>
      </c>
      <c r="O148" s="408">
        <v>-325248</v>
      </c>
      <c r="P148" s="408">
        <v>0</v>
      </c>
      <c r="Q148" s="403"/>
      <c r="R148" s="403"/>
      <c r="S148" s="336" t="s">
        <v>1584</v>
      </c>
      <c r="T148" s="403"/>
      <c r="U148" s="403"/>
      <c r="V148" s="403"/>
      <c r="W148" s="403"/>
      <c r="X148" s="403"/>
      <c r="Y148" s="403"/>
      <c r="Z148" s="408">
        <v>-325248</v>
      </c>
    </row>
    <row r="149" spans="2:26" x14ac:dyDescent="0.3">
      <c r="B149" s="407" t="s">
        <v>1000</v>
      </c>
      <c r="C149" s="404" t="s">
        <v>855</v>
      </c>
      <c r="D149" s="406">
        <v>-325248</v>
      </c>
      <c r="E149" s="406">
        <v>0</v>
      </c>
      <c r="F149" s="403"/>
      <c r="G149" s="404" t="s">
        <v>1103</v>
      </c>
      <c r="H149" s="336" t="s">
        <v>1708</v>
      </c>
      <c r="I149" s="405" t="s">
        <v>865</v>
      </c>
      <c r="J149" s="336" t="s">
        <v>1753</v>
      </c>
      <c r="K149" s="336" t="s">
        <v>1585</v>
      </c>
      <c r="L149" s="403"/>
      <c r="M149" s="336" t="s">
        <v>1000</v>
      </c>
      <c r="N149" s="336" t="s">
        <v>810</v>
      </c>
      <c r="O149" s="408">
        <v>-325248</v>
      </c>
      <c r="P149" s="408">
        <v>0</v>
      </c>
      <c r="Q149" s="403"/>
      <c r="R149" s="403"/>
      <c r="S149" s="336" t="s">
        <v>1584</v>
      </c>
      <c r="T149" s="403"/>
      <c r="U149" s="403"/>
      <c r="V149" s="403"/>
      <c r="W149" s="403"/>
      <c r="X149" s="403"/>
      <c r="Y149" s="408">
        <v>-325248</v>
      </c>
      <c r="Z149" s="403"/>
    </row>
    <row r="150" spans="2:26" x14ac:dyDescent="0.3">
      <c r="B150" s="407" t="s">
        <v>802</v>
      </c>
      <c r="C150" s="404" t="s">
        <v>853</v>
      </c>
      <c r="D150" s="406">
        <v>-33477.68</v>
      </c>
      <c r="E150" s="406">
        <v>0</v>
      </c>
      <c r="F150" s="403"/>
      <c r="G150" s="404" t="s">
        <v>1103</v>
      </c>
      <c r="H150" s="336" t="s">
        <v>1777</v>
      </c>
      <c r="I150" s="405" t="s">
        <v>856</v>
      </c>
      <c r="J150" s="336" t="s">
        <v>1713</v>
      </c>
      <c r="K150" s="336" t="s">
        <v>1583</v>
      </c>
      <c r="L150" s="336" t="s">
        <v>1482</v>
      </c>
      <c r="M150" s="336" t="s">
        <v>1000</v>
      </c>
      <c r="N150" s="336" t="s">
        <v>802</v>
      </c>
      <c r="O150" s="408">
        <v>33477.68</v>
      </c>
      <c r="P150" s="408">
        <v>0</v>
      </c>
      <c r="Q150" s="403"/>
      <c r="R150" s="403"/>
      <c r="S150" s="336" t="s">
        <v>1714</v>
      </c>
      <c r="T150" s="403"/>
      <c r="U150" s="403"/>
      <c r="V150" s="403"/>
      <c r="W150" s="403"/>
      <c r="X150" s="403"/>
      <c r="Y150" s="403"/>
      <c r="Z150" s="408">
        <v>33477.68</v>
      </c>
    </row>
    <row r="151" spans="2:26" x14ac:dyDescent="0.3">
      <c r="B151" s="407" t="s">
        <v>1000</v>
      </c>
      <c r="C151" s="404" t="s">
        <v>855</v>
      </c>
      <c r="D151" s="406">
        <v>33477.68</v>
      </c>
      <c r="E151" s="406">
        <v>0</v>
      </c>
      <c r="F151" s="403"/>
      <c r="G151" s="404" t="s">
        <v>1103</v>
      </c>
      <c r="H151" s="336" t="s">
        <v>1777</v>
      </c>
      <c r="I151" s="405" t="s">
        <v>856</v>
      </c>
      <c r="J151" s="336" t="s">
        <v>1713</v>
      </c>
      <c r="K151" s="336" t="s">
        <v>1583</v>
      </c>
      <c r="L151" s="336" t="s">
        <v>1482</v>
      </c>
      <c r="M151" s="336" t="s">
        <v>1000</v>
      </c>
      <c r="N151" s="336" t="s">
        <v>802</v>
      </c>
      <c r="O151" s="408">
        <v>33477.68</v>
      </c>
      <c r="P151" s="408">
        <v>0</v>
      </c>
      <c r="Q151" s="403"/>
      <c r="R151" s="403"/>
      <c r="S151" s="336" t="s">
        <v>1714</v>
      </c>
      <c r="T151" s="403"/>
      <c r="U151" s="403"/>
      <c r="V151" s="403"/>
      <c r="W151" s="403"/>
      <c r="X151" s="403"/>
      <c r="Y151" s="408">
        <v>33477.68</v>
      </c>
      <c r="Z151" s="403"/>
    </row>
    <row r="152" spans="2:26" x14ac:dyDescent="0.3">
      <c r="B152" s="407" t="s">
        <v>808</v>
      </c>
      <c r="C152" s="404" t="s">
        <v>853</v>
      </c>
      <c r="D152" s="406">
        <v>-561452.02</v>
      </c>
      <c r="E152" s="406">
        <v>-22684.93</v>
      </c>
      <c r="F152" s="404" t="s">
        <v>15</v>
      </c>
      <c r="G152" s="404" t="s">
        <v>1103</v>
      </c>
      <c r="H152" s="336" t="s">
        <v>1712</v>
      </c>
      <c r="I152" s="405" t="s">
        <v>866</v>
      </c>
      <c r="J152" s="336" t="s">
        <v>1110</v>
      </c>
      <c r="K152" s="336" t="s">
        <v>1453</v>
      </c>
      <c r="L152" s="336" t="s">
        <v>1524</v>
      </c>
      <c r="M152" s="336" t="s">
        <v>800</v>
      </c>
      <c r="N152" s="336" t="s">
        <v>808</v>
      </c>
      <c r="O152" s="408">
        <v>561452.02</v>
      </c>
      <c r="P152" s="408">
        <v>22684.93</v>
      </c>
      <c r="Q152" s="405" t="s">
        <v>15</v>
      </c>
      <c r="R152" s="405" t="s">
        <v>1140</v>
      </c>
      <c r="S152" s="403"/>
      <c r="T152" s="403"/>
      <c r="U152" s="403"/>
      <c r="V152" s="403"/>
      <c r="W152" s="403"/>
      <c r="X152" s="403"/>
      <c r="Y152" s="403"/>
      <c r="Z152" s="408">
        <v>561452.02</v>
      </c>
    </row>
    <row r="153" spans="2:26" x14ac:dyDescent="0.3">
      <c r="B153" s="407" t="s">
        <v>800</v>
      </c>
      <c r="C153" s="404" t="s">
        <v>855</v>
      </c>
      <c r="D153" s="406">
        <v>561452.02</v>
      </c>
      <c r="E153" s="406">
        <v>22684.93</v>
      </c>
      <c r="F153" s="404" t="s">
        <v>15</v>
      </c>
      <c r="G153" s="404" t="s">
        <v>1103</v>
      </c>
      <c r="H153" s="336" t="s">
        <v>1712</v>
      </c>
      <c r="I153" s="405" t="s">
        <v>866</v>
      </c>
      <c r="J153" s="336" t="s">
        <v>1110</v>
      </c>
      <c r="K153" s="336" t="s">
        <v>1453</v>
      </c>
      <c r="L153" s="336" t="s">
        <v>1524</v>
      </c>
      <c r="M153" s="336" t="s">
        <v>800</v>
      </c>
      <c r="N153" s="336" t="s">
        <v>808</v>
      </c>
      <c r="O153" s="408">
        <v>561452.02</v>
      </c>
      <c r="P153" s="408">
        <v>22684.93</v>
      </c>
      <c r="Q153" s="405" t="s">
        <v>15</v>
      </c>
      <c r="R153" s="405" t="s">
        <v>1140</v>
      </c>
      <c r="S153" s="403"/>
      <c r="T153" s="403"/>
      <c r="U153" s="403"/>
      <c r="V153" s="403"/>
      <c r="W153" s="403"/>
      <c r="X153" s="403"/>
      <c r="Y153" s="408">
        <v>561452.02</v>
      </c>
      <c r="Z153" s="403"/>
    </row>
    <row r="154" spans="2:26" x14ac:dyDescent="0.3">
      <c r="B154" s="407" t="s">
        <v>800</v>
      </c>
      <c r="C154" s="404" t="s">
        <v>853</v>
      </c>
      <c r="D154" s="406">
        <v>-5.94</v>
      </c>
      <c r="E154" s="406">
        <v>-0.24000000000000002</v>
      </c>
      <c r="F154" s="404" t="s">
        <v>15</v>
      </c>
      <c r="G154" s="404" t="s">
        <v>1103</v>
      </c>
      <c r="H154" s="336" t="s">
        <v>1712</v>
      </c>
      <c r="I154" s="405" t="s">
        <v>866</v>
      </c>
      <c r="J154" s="336" t="s">
        <v>1111</v>
      </c>
      <c r="K154" s="336" t="s">
        <v>869</v>
      </c>
      <c r="L154" s="403"/>
      <c r="M154" s="336" t="s">
        <v>832</v>
      </c>
      <c r="N154" s="336" t="s">
        <v>800</v>
      </c>
      <c r="O154" s="408">
        <v>5.94</v>
      </c>
      <c r="P154" s="408">
        <v>0.24000000000000002</v>
      </c>
      <c r="Q154" s="405" t="s">
        <v>15</v>
      </c>
      <c r="R154" s="405" t="s">
        <v>1140</v>
      </c>
      <c r="S154" s="403"/>
      <c r="T154" s="403"/>
      <c r="U154" s="403"/>
      <c r="V154" s="403"/>
      <c r="W154" s="403"/>
      <c r="X154" s="403"/>
      <c r="Y154" s="403"/>
      <c r="Z154" s="408">
        <v>5.94</v>
      </c>
    </row>
    <row r="155" spans="2:26" x14ac:dyDescent="0.3">
      <c r="B155" s="407" t="s">
        <v>832</v>
      </c>
      <c r="C155" s="404" t="s">
        <v>855</v>
      </c>
      <c r="D155" s="406">
        <v>5.94</v>
      </c>
      <c r="E155" s="406">
        <v>0.24000000000000002</v>
      </c>
      <c r="F155" s="404" t="s">
        <v>15</v>
      </c>
      <c r="G155" s="404" t="s">
        <v>1103</v>
      </c>
      <c r="H155" s="336" t="s">
        <v>1712</v>
      </c>
      <c r="I155" s="405" t="s">
        <v>866</v>
      </c>
      <c r="J155" s="336" t="s">
        <v>1111</v>
      </c>
      <c r="K155" s="336" t="s">
        <v>869</v>
      </c>
      <c r="L155" s="403"/>
      <c r="M155" s="336" t="s">
        <v>832</v>
      </c>
      <c r="N155" s="336" t="s">
        <v>800</v>
      </c>
      <c r="O155" s="408">
        <v>5.94</v>
      </c>
      <c r="P155" s="408">
        <v>0.24000000000000002</v>
      </c>
      <c r="Q155" s="405" t="s">
        <v>15</v>
      </c>
      <c r="R155" s="405" t="s">
        <v>1140</v>
      </c>
      <c r="S155" s="403"/>
      <c r="T155" s="403"/>
      <c r="U155" s="403"/>
      <c r="V155" s="403"/>
      <c r="W155" s="403"/>
      <c r="X155" s="403"/>
      <c r="Y155" s="408">
        <v>5.94</v>
      </c>
      <c r="Z155" s="403"/>
    </row>
    <row r="156" spans="2:26" x14ac:dyDescent="0.3">
      <c r="B156" s="407" t="s">
        <v>800</v>
      </c>
      <c r="C156" s="404" t="s">
        <v>853</v>
      </c>
      <c r="D156" s="406">
        <v>-5.94</v>
      </c>
      <c r="E156" s="406">
        <v>-0.24000000000000002</v>
      </c>
      <c r="F156" s="404" t="s">
        <v>15</v>
      </c>
      <c r="G156" s="404" t="s">
        <v>1103</v>
      </c>
      <c r="H156" s="336" t="s">
        <v>1715</v>
      </c>
      <c r="I156" s="405" t="s">
        <v>866</v>
      </c>
      <c r="J156" s="336" t="s">
        <v>1114</v>
      </c>
      <c r="K156" s="336" t="s">
        <v>869</v>
      </c>
      <c r="L156" s="403"/>
      <c r="M156" s="336" t="s">
        <v>832</v>
      </c>
      <c r="N156" s="336" t="s">
        <v>800</v>
      </c>
      <c r="O156" s="408">
        <v>5.94</v>
      </c>
      <c r="P156" s="408">
        <v>0.24000000000000002</v>
      </c>
      <c r="Q156" s="405" t="s">
        <v>15</v>
      </c>
      <c r="R156" s="405" t="s">
        <v>1716</v>
      </c>
      <c r="S156" s="403"/>
      <c r="T156" s="403"/>
      <c r="U156" s="403"/>
      <c r="V156" s="403"/>
      <c r="W156" s="403"/>
      <c r="X156" s="403"/>
      <c r="Y156" s="403"/>
      <c r="Z156" s="408">
        <v>5.94</v>
      </c>
    </row>
    <row r="157" spans="2:26" x14ac:dyDescent="0.3">
      <c r="B157" s="407" t="s">
        <v>832</v>
      </c>
      <c r="C157" s="404" t="s">
        <v>855</v>
      </c>
      <c r="D157" s="406">
        <v>5.94</v>
      </c>
      <c r="E157" s="406">
        <v>0.24000000000000002</v>
      </c>
      <c r="F157" s="404" t="s">
        <v>15</v>
      </c>
      <c r="G157" s="404" t="s">
        <v>1103</v>
      </c>
      <c r="H157" s="336" t="s">
        <v>1715</v>
      </c>
      <c r="I157" s="405" t="s">
        <v>866</v>
      </c>
      <c r="J157" s="336" t="s">
        <v>1114</v>
      </c>
      <c r="K157" s="336" t="s">
        <v>869</v>
      </c>
      <c r="L157" s="403"/>
      <c r="M157" s="336" t="s">
        <v>832</v>
      </c>
      <c r="N157" s="336" t="s">
        <v>800</v>
      </c>
      <c r="O157" s="408">
        <v>5.94</v>
      </c>
      <c r="P157" s="408">
        <v>0.24000000000000002</v>
      </c>
      <c r="Q157" s="405" t="s">
        <v>15</v>
      </c>
      <c r="R157" s="405" t="s">
        <v>1716</v>
      </c>
      <c r="S157" s="403"/>
      <c r="T157" s="403"/>
      <c r="U157" s="403"/>
      <c r="V157" s="403"/>
      <c r="W157" s="403"/>
      <c r="X157" s="403"/>
      <c r="Y157" s="408">
        <v>5.94</v>
      </c>
      <c r="Z157" s="403"/>
    </row>
    <row r="158" spans="2:26" x14ac:dyDescent="0.3">
      <c r="B158" s="407" t="s">
        <v>800</v>
      </c>
      <c r="C158" s="404" t="s">
        <v>853</v>
      </c>
      <c r="D158" s="406">
        <v>-6921.2</v>
      </c>
      <c r="E158" s="406">
        <v>-290</v>
      </c>
      <c r="F158" s="404" t="s">
        <v>15</v>
      </c>
      <c r="G158" s="404" t="s">
        <v>1103</v>
      </c>
      <c r="H158" s="336" t="s">
        <v>1715</v>
      </c>
      <c r="I158" s="405" t="s">
        <v>866</v>
      </c>
      <c r="J158" s="336" t="s">
        <v>1116</v>
      </c>
      <c r="K158" s="336" t="s">
        <v>1778</v>
      </c>
      <c r="L158" s="336" t="s">
        <v>1483</v>
      </c>
      <c r="M158" s="336" t="s">
        <v>802</v>
      </c>
      <c r="N158" s="336" t="s">
        <v>800</v>
      </c>
      <c r="O158" s="408">
        <v>6921.2</v>
      </c>
      <c r="P158" s="408">
        <v>290</v>
      </c>
      <c r="Q158" s="405" t="s">
        <v>15</v>
      </c>
      <c r="R158" s="405" t="s">
        <v>1718</v>
      </c>
      <c r="S158" s="336" t="s">
        <v>1697</v>
      </c>
      <c r="T158" s="403"/>
      <c r="U158" s="403"/>
      <c r="V158" s="403"/>
      <c r="W158" s="403"/>
      <c r="X158" s="403"/>
      <c r="Y158" s="403"/>
      <c r="Z158" s="408">
        <v>6921.2</v>
      </c>
    </row>
    <row r="159" spans="2:26" x14ac:dyDescent="0.3">
      <c r="B159" s="407" t="s">
        <v>802</v>
      </c>
      <c r="C159" s="404" t="s">
        <v>855</v>
      </c>
      <c r="D159" s="406">
        <v>6921.2</v>
      </c>
      <c r="E159" s="406">
        <v>290</v>
      </c>
      <c r="F159" s="404" t="s">
        <v>15</v>
      </c>
      <c r="G159" s="404" t="s">
        <v>1103</v>
      </c>
      <c r="H159" s="336" t="s">
        <v>1715</v>
      </c>
      <c r="I159" s="405" t="s">
        <v>866</v>
      </c>
      <c r="J159" s="336" t="s">
        <v>1116</v>
      </c>
      <c r="K159" s="336" t="s">
        <v>1778</v>
      </c>
      <c r="L159" s="336" t="s">
        <v>1483</v>
      </c>
      <c r="M159" s="336" t="s">
        <v>802</v>
      </c>
      <c r="N159" s="336" t="s">
        <v>800</v>
      </c>
      <c r="O159" s="408">
        <v>6921.2</v>
      </c>
      <c r="P159" s="408">
        <v>290</v>
      </c>
      <c r="Q159" s="405" t="s">
        <v>15</v>
      </c>
      <c r="R159" s="405" t="s">
        <v>1718</v>
      </c>
      <c r="S159" s="336" t="s">
        <v>1697</v>
      </c>
      <c r="T159" s="403"/>
      <c r="U159" s="403"/>
      <c r="V159" s="403"/>
      <c r="W159" s="403"/>
      <c r="X159" s="403"/>
      <c r="Y159" s="408">
        <v>6921.2</v>
      </c>
      <c r="Z159" s="403"/>
    </row>
    <row r="160" spans="2:26" x14ac:dyDescent="0.3">
      <c r="B160" s="407" t="s">
        <v>800</v>
      </c>
      <c r="C160" s="404" t="s">
        <v>853</v>
      </c>
      <c r="D160" s="406">
        <v>-74221.650000000009</v>
      </c>
      <c r="E160" s="406">
        <v>-3001.2799999999997</v>
      </c>
      <c r="F160" s="404" t="s">
        <v>15</v>
      </c>
      <c r="G160" s="404" t="s">
        <v>1103</v>
      </c>
      <c r="H160" s="336" t="s">
        <v>1715</v>
      </c>
      <c r="I160" s="405" t="s">
        <v>866</v>
      </c>
      <c r="J160" s="336" t="s">
        <v>1118</v>
      </c>
      <c r="K160" s="336" t="s">
        <v>1779</v>
      </c>
      <c r="L160" s="336" t="s">
        <v>1483</v>
      </c>
      <c r="M160" s="336" t="s">
        <v>802</v>
      </c>
      <c r="N160" s="336" t="s">
        <v>800</v>
      </c>
      <c r="O160" s="408">
        <v>74221.650000000009</v>
      </c>
      <c r="P160" s="408">
        <v>3001.2799999999997</v>
      </c>
      <c r="Q160" s="405" t="s">
        <v>15</v>
      </c>
      <c r="R160" s="405" t="s">
        <v>1716</v>
      </c>
      <c r="S160" s="336" t="s">
        <v>1694</v>
      </c>
      <c r="T160" s="403"/>
      <c r="U160" s="403"/>
      <c r="V160" s="403"/>
      <c r="W160" s="403"/>
      <c r="X160" s="403"/>
      <c r="Y160" s="403"/>
      <c r="Z160" s="408">
        <v>74221.650000000009</v>
      </c>
    </row>
    <row r="161" spans="2:26" x14ac:dyDescent="0.3">
      <c r="B161" s="407" t="s">
        <v>802</v>
      </c>
      <c r="C161" s="404" t="s">
        <v>855</v>
      </c>
      <c r="D161" s="406">
        <v>74221.650000000009</v>
      </c>
      <c r="E161" s="406">
        <v>3001.2799999999997</v>
      </c>
      <c r="F161" s="404" t="s">
        <v>15</v>
      </c>
      <c r="G161" s="404" t="s">
        <v>1103</v>
      </c>
      <c r="H161" s="336" t="s">
        <v>1715</v>
      </c>
      <c r="I161" s="405" t="s">
        <v>866</v>
      </c>
      <c r="J161" s="336" t="s">
        <v>1118</v>
      </c>
      <c r="K161" s="336" t="s">
        <v>1779</v>
      </c>
      <c r="L161" s="336" t="s">
        <v>1483</v>
      </c>
      <c r="M161" s="336" t="s">
        <v>802</v>
      </c>
      <c r="N161" s="336" t="s">
        <v>800</v>
      </c>
      <c r="O161" s="408">
        <v>74221.650000000009</v>
      </c>
      <c r="P161" s="408">
        <v>3001.2799999999997</v>
      </c>
      <c r="Q161" s="405" t="s">
        <v>15</v>
      </c>
      <c r="R161" s="405" t="s">
        <v>1716</v>
      </c>
      <c r="S161" s="336" t="s">
        <v>1694</v>
      </c>
      <c r="T161" s="403"/>
      <c r="U161" s="403"/>
      <c r="V161" s="403"/>
      <c r="W161" s="403"/>
      <c r="X161" s="403"/>
      <c r="Y161" s="408">
        <v>74221.650000000009</v>
      </c>
      <c r="Z161" s="403"/>
    </row>
    <row r="162" spans="2:26" x14ac:dyDescent="0.3">
      <c r="B162" s="407" t="s">
        <v>835</v>
      </c>
      <c r="C162" s="404" t="s">
        <v>853</v>
      </c>
      <c r="D162" s="406">
        <v>-1890.81</v>
      </c>
      <c r="E162" s="406">
        <v>0</v>
      </c>
      <c r="F162" s="404" t="s">
        <v>15</v>
      </c>
      <c r="G162" s="404" t="s">
        <v>1103</v>
      </c>
      <c r="H162" s="336" t="s">
        <v>1715</v>
      </c>
      <c r="I162" s="405" t="s">
        <v>866</v>
      </c>
      <c r="J162" s="336" t="s">
        <v>1118</v>
      </c>
      <c r="K162" s="336" t="s">
        <v>877</v>
      </c>
      <c r="L162" s="336" t="s">
        <v>1483</v>
      </c>
      <c r="M162" s="336" t="s">
        <v>802</v>
      </c>
      <c r="N162" s="336" t="s">
        <v>835</v>
      </c>
      <c r="O162" s="408">
        <v>1890.81</v>
      </c>
      <c r="P162" s="408">
        <v>0</v>
      </c>
      <c r="Q162" s="405" t="s">
        <v>15</v>
      </c>
      <c r="R162" s="405" t="s">
        <v>1716</v>
      </c>
      <c r="S162" s="336" t="s">
        <v>1694</v>
      </c>
      <c r="T162" s="403"/>
      <c r="U162" s="403"/>
      <c r="V162" s="403"/>
      <c r="W162" s="403"/>
      <c r="X162" s="403"/>
      <c r="Y162" s="403"/>
      <c r="Z162" s="408">
        <v>1890.81</v>
      </c>
    </row>
    <row r="163" spans="2:26" x14ac:dyDescent="0.3">
      <c r="B163" s="407" t="s">
        <v>802</v>
      </c>
      <c r="C163" s="404" t="s">
        <v>855</v>
      </c>
      <c r="D163" s="406">
        <v>1890.81</v>
      </c>
      <c r="E163" s="406">
        <v>0</v>
      </c>
      <c r="F163" s="404" t="s">
        <v>15</v>
      </c>
      <c r="G163" s="404" t="s">
        <v>1103</v>
      </c>
      <c r="H163" s="336" t="s">
        <v>1715</v>
      </c>
      <c r="I163" s="405" t="s">
        <v>866</v>
      </c>
      <c r="J163" s="336" t="s">
        <v>1118</v>
      </c>
      <c r="K163" s="336" t="s">
        <v>877</v>
      </c>
      <c r="L163" s="336" t="s">
        <v>1483</v>
      </c>
      <c r="M163" s="336" t="s">
        <v>802</v>
      </c>
      <c r="N163" s="336" t="s">
        <v>835</v>
      </c>
      <c r="O163" s="408">
        <v>1890.81</v>
      </c>
      <c r="P163" s="408">
        <v>0</v>
      </c>
      <c r="Q163" s="405" t="s">
        <v>15</v>
      </c>
      <c r="R163" s="405" t="s">
        <v>1716</v>
      </c>
      <c r="S163" s="336" t="s">
        <v>1694</v>
      </c>
      <c r="T163" s="403"/>
      <c r="U163" s="403"/>
      <c r="V163" s="403"/>
      <c r="W163" s="403"/>
      <c r="X163" s="403"/>
      <c r="Y163" s="408">
        <v>1890.81</v>
      </c>
      <c r="Z163" s="403"/>
    </row>
    <row r="164" spans="2:26" x14ac:dyDescent="0.3">
      <c r="B164" s="407" t="s">
        <v>800</v>
      </c>
      <c r="C164" s="404" t="s">
        <v>853</v>
      </c>
      <c r="D164" s="406">
        <v>-5.9300000000000006</v>
      </c>
      <c r="E164" s="406">
        <v>-0.24000000000000002</v>
      </c>
      <c r="F164" s="404" t="s">
        <v>15</v>
      </c>
      <c r="G164" s="404" t="s">
        <v>1103</v>
      </c>
      <c r="H164" s="336" t="s">
        <v>1720</v>
      </c>
      <c r="I164" s="405" t="s">
        <v>866</v>
      </c>
      <c r="J164" s="336" t="s">
        <v>1121</v>
      </c>
      <c r="K164" s="336" t="s">
        <v>869</v>
      </c>
      <c r="L164" s="403"/>
      <c r="M164" s="336" t="s">
        <v>832</v>
      </c>
      <c r="N164" s="336" t="s">
        <v>800</v>
      </c>
      <c r="O164" s="408">
        <v>5.9300000000000006</v>
      </c>
      <c r="P164" s="408">
        <v>0.24000000000000002</v>
      </c>
      <c r="Q164" s="405" t="s">
        <v>15</v>
      </c>
      <c r="R164" s="405" t="s">
        <v>1142</v>
      </c>
      <c r="S164" s="403"/>
      <c r="T164" s="403"/>
      <c r="U164" s="403"/>
      <c r="V164" s="403"/>
      <c r="W164" s="403"/>
      <c r="X164" s="403"/>
      <c r="Y164" s="403"/>
      <c r="Z164" s="408">
        <v>5.9300000000000006</v>
      </c>
    </row>
    <row r="165" spans="2:26" x14ac:dyDescent="0.3">
      <c r="B165" s="407" t="s">
        <v>832</v>
      </c>
      <c r="C165" s="404" t="s">
        <v>855</v>
      </c>
      <c r="D165" s="406">
        <v>5.9300000000000006</v>
      </c>
      <c r="E165" s="406">
        <v>0.24000000000000002</v>
      </c>
      <c r="F165" s="404" t="s">
        <v>15</v>
      </c>
      <c r="G165" s="404" t="s">
        <v>1103</v>
      </c>
      <c r="H165" s="336" t="s">
        <v>1720</v>
      </c>
      <c r="I165" s="405" t="s">
        <v>866</v>
      </c>
      <c r="J165" s="336" t="s">
        <v>1121</v>
      </c>
      <c r="K165" s="336" t="s">
        <v>869</v>
      </c>
      <c r="L165" s="403"/>
      <c r="M165" s="336" t="s">
        <v>832</v>
      </c>
      <c r="N165" s="336" t="s">
        <v>800</v>
      </c>
      <c r="O165" s="408">
        <v>5.9300000000000006</v>
      </c>
      <c r="P165" s="408">
        <v>0.24000000000000002</v>
      </c>
      <c r="Q165" s="405" t="s">
        <v>15</v>
      </c>
      <c r="R165" s="405" t="s">
        <v>1142</v>
      </c>
      <c r="S165" s="403"/>
      <c r="T165" s="403"/>
      <c r="U165" s="403"/>
      <c r="V165" s="403"/>
      <c r="W165" s="403"/>
      <c r="X165" s="403"/>
      <c r="Y165" s="408">
        <v>5.9300000000000006</v>
      </c>
      <c r="Z165" s="403"/>
    </row>
    <row r="166" spans="2:26" x14ac:dyDescent="0.3">
      <c r="B166" s="407" t="s">
        <v>800</v>
      </c>
      <c r="C166" s="404" t="s">
        <v>853</v>
      </c>
      <c r="D166" s="406">
        <v>-42101.729999999996</v>
      </c>
      <c r="E166" s="406">
        <v>-1702.8</v>
      </c>
      <c r="F166" s="404" t="s">
        <v>15</v>
      </c>
      <c r="G166" s="404" t="s">
        <v>1103</v>
      </c>
      <c r="H166" s="336" t="s">
        <v>1720</v>
      </c>
      <c r="I166" s="405" t="s">
        <v>866</v>
      </c>
      <c r="J166" s="336" t="s">
        <v>1122</v>
      </c>
      <c r="K166" s="336" t="s">
        <v>1721</v>
      </c>
      <c r="L166" s="336" t="s">
        <v>1503</v>
      </c>
      <c r="M166" s="336" t="s">
        <v>802</v>
      </c>
      <c r="N166" s="336" t="s">
        <v>800</v>
      </c>
      <c r="O166" s="408">
        <v>42101.729999999996</v>
      </c>
      <c r="P166" s="408">
        <v>1702.8</v>
      </c>
      <c r="Q166" s="405" t="s">
        <v>15</v>
      </c>
      <c r="R166" s="405" t="s">
        <v>1142</v>
      </c>
      <c r="S166" s="336" t="s">
        <v>1711</v>
      </c>
      <c r="T166" s="403"/>
      <c r="U166" s="403"/>
      <c r="V166" s="403"/>
      <c r="W166" s="403"/>
      <c r="X166" s="403"/>
      <c r="Y166" s="403"/>
      <c r="Z166" s="408">
        <v>42101.729999999996</v>
      </c>
    </row>
    <row r="167" spans="2:26" x14ac:dyDescent="0.3">
      <c r="B167" s="407" t="s">
        <v>802</v>
      </c>
      <c r="C167" s="404" t="s">
        <v>855</v>
      </c>
      <c r="D167" s="406">
        <v>42101.729999999996</v>
      </c>
      <c r="E167" s="406">
        <v>1702.8</v>
      </c>
      <c r="F167" s="404" t="s">
        <v>15</v>
      </c>
      <c r="G167" s="404" t="s">
        <v>1103</v>
      </c>
      <c r="H167" s="336" t="s">
        <v>1720</v>
      </c>
      <c r="I167" s="405" t="s">
        <v>866</v>
      </c>
      <c r="J167" s="336" t="s">
        <v>1122</v>
      </c>
      <c r="K167" s="336" t="s">
        <v>1721</v>
      </c>
      <c r="L167" s="336" t="s">
        <v>1503</v>
      </c>
      <c r="M167" s="336" t="s">
        <v>802</v>
      </c>
      <c r="N167" s="336" t="s">
        <v>800</v>
      </c>
      <c r="O167" s="408">
        <v>42101.729999999996</v>
      </c>
      <c r="P167" s="408">
        <v>1702.8</v>
      </c>
      <c r="Q167" s="405" t="s">
        <v>15</v>
      </c>
      <c r="R167" s="405" t="s">
        <v>1142</v>
      </c>
      <c r="S167" s="336" t="s">
        <v>1711</v>
      </c>
      <c r="T167" s="403"/>
      <c r="U167" s="403"/>
      <c r="V167" s="403"/>
      <c r="W167" s="403"/>
      <c r="X167" s="403"/>
      <c r="Y167" s="408">
        <v>42101.729999999996</v>
      </c>
      <c r="Z167" s="403"/>
    </row>
    <row r="168" spans="2:26" x14ac:dyDescent="0.3">
      <c r="B168" s="407" t="s">
        <v>835</v>
      </c>
      <c r="C168" s="404" t="s">
        <v>853</v>
      </c>
      <c r="D168" s="406">
        <v>-59.6</v>
      </c>
      <c r="E168" s="406">
        <v>0</v>
      </c>
      <c r="F168" s="404" t="s">
        <v>15</v>
      </c>
      <c r="G168" s="404" t="s">
        <v>1103</v>
      </c>
      <c r="H168" s="336" t="s">
        <v>1720</v>
      </c>
      <c r="I168" s="405" t="s">
        <v>866</v>
      </c>
      <c r="J168" s="336" t="s">
        <v>1122</v>
      </c>
      <c r="K168" s="336" t="s">
        <v>877</v>
      </c>
      <c r="L168" s="336" t="s">
        <v>1503</v>
      </c>
      <c r="M168" s="336" t="s">
        <v>802</v>
      </c>
      <c r="N168" s="336" t="s">
        <v>835</v>
      </c>
      <c r="O168" s="408">
        <v>59.6</v>
      </c>
      <c r="P168" s="408">
        <v>0</v>
      </c>
      <c r="Q168" s="405" t="s">
        <v>15</v>
      </c>
      <c r="R168" s="405" t="s">
        <v>1142</v>
      </c>
      <c r="S168" s="336" t="s">
        <v>1711</v>
      </c>
      <c r="T168" s="403"/>
      <c r="U168" s="403"/>
      <c r="V168" s="403"/>
      <c r="W168" s="403"/>
      <c r="X168" s="403"/>
      <c r="Y168" s="403"/>
      <c r="Z168" s="408">
        <v>59.6</v>
      </c>
    </row>
    <row r="169" spans="2:26" x14ac:dyDescent="0.3">
      <c r="B169" s="407" t="s">
        <v>802</v>
      </c>
      <c r="C169" s="404" t="s">
        <v>855</v>
      </c>
      <c r="D169" s="406">
        <v>59.6</v>
      </c>
      <c r="E169" s="406">
        <v>0</v>
      </c>
      <c r="F169" s="404" t="s">
        <v>15</v>
      </c>
      <c r="G169" s="404" t="s">
        <v>1103</v>
      </c>
      <c r="H169" s="336" t="s">
        <v>1720</v>
      </c>
      <c r="I169" s="405" t="s">
        <v>866</v>
      </c>
      <c r="J169" s="336" t="s">
        <v>1122</v>
      </c>
      <c r="K169" s="336" t="s">
        <v>877</v>
      </c>
      <c r="L169" s="336" t="s">
        <v>1503</v>
      </c>
      <c r="M169" s="336" t="s">
        <v>802</v>
      </c>
      <c r="N169" s="336" t="s">
        <v>835</v>
      </c>
      <c r="O169" s="408">
        <v>59.6</v>
      </c>
      <c r="P169" s="408">
        <v>0</v>
      </c>
      <c r="Q169" s="405" t="s">
        <v>15</v>
      </c>
      <c r="R169" s="405" t="s">
        <v>1142</v>
      </c>
      <c r="S169" s="336" t="s">
        <v>1711</v>
      </c>
      <c r="T169" s="403"/>
      <c r="U169" s="403"/>
      <c r="V169" s="403"/>
      <c r="W169" s="403"/>
      <c r="X169" s="403"/>
      <c r="Y169" s="408">
        <v>59.6</v>
      </c>
      <c r="Z169" s="403"/>
    </row>
    <row r="170" spans="2:26" x14ac:dyDescent="0.3">
      <c r="B170" s="407" t="s">
        <v>919</v>
      </c>
      <c r="C170" s="404" t="s">
        <v>853</v>
      </c>
      <c r="D170" s="406">
        <v>-43304.13</v>
      </c>
      <c r="E170" s="406">
        <v>0</v>
      </c>
      <c r="F170" s="403"/>
      <c r="G170" s="404" t="s">
        <v>1103</v>
      </c>
      <c r="H170" s="336" t="s">
        <v>1723</v>
      </c>
      <c r="I170" s="403"/>
      <c r="J170" s="336" t="s">
        <v>920</v>
      </c>
      <c r="K170" s="336" t="s">
        <v>921</v>
      </c>
      <c r="L170" s="403"/>
      <c r="M170" s="336" t="s">
        <v>917</v>
      </c>
      <c r="N170" s="336" t="s">
        <v>919</v>
      </c>
      <c r="O170" s="408">
        <v>43304.13</v>
      </c>
      <c r="P170" s="408">
        <v>0</v>
      </c>
      <c r="Q170" s="403"/>
      <c r="R170" s="403"/>
      <c r="S170" s="336" t="s">
        <v>858</v>
      </c>
      <c r="T170" s="403"/>
      <c r="U170" s="403"/>
      <c r="V170" s="403"/>
      <c r="W170" s="403"/>
      <c r="X170" s="403"/>
      <c r="Y170" s="403"/>
      <c r="Z170" s="408">
        <v>43304.13</v>
      </c>
    </row>
    <row r="171" spans="2:26" x14ac:dyDescent="0.3">
      <c r="B171" s="407" t="s">
        <v>917</v>
      </c>
      <c r="C171" s="404" t="s">
        <v>855</v>
      </c>
      <c r="D171" s="406">
        <v>43304.13</v>
      </c>
      <c r="E171" s="406">
        <v>0</v>
      </c>
      <c r="F171" s="403"/>
      <c r="G171" s="404" t="s">
        <v>1103</v>
      </c>
      <c r="H171" s="336" t="s">
        <v>1723</v>
      </c>
      <c r="I171" s="403"/>
      <c r="J171" s="336" t="s">
        <v>920</v>
      </c>
      <c r="K171" s="336" t="s">
        <v>921</v>
      </c>
      <c r="L171" s="403"/>
      <c r="M171" s="336" t="s">
        <v>917</v>
      </c>
      <c r="N171" s="336" t="s">
        <v>919</v>
      </c>
      <c r="O171" s="408">
        <v>43304.13</v>
      </c>
      <c r="P171" s="408">
        <v>0</v>
      </c>
      <c r="Q171" s="403"/>
      <c r="R171" s="403"/>
      <c r="S171" s="336" t="s">
        <v>858</v>
      </c>
      <c r="T171" s="403"/>
      <c r="U171" s="403"/>
      <c r="V171" s="403"/>
      <c r="W171" s="403"/>
      <c r="X171" s="403"/>
      <c r="Y171" s="408">
        <v>43304.13</v>
      </c>
      <c r="Z171" s="403"/>
    </row>
    <row r="172" spans="2:26" x14ac:dyDescent="0.3">
      <c r="B172" s="407" t="s">
        <v>918</v>
      </c>
      <c r="C172" s="404" t="s">
        <v>853</v>
      </c>
      <c r="D172" s="406">
        <v>-154198.68</v>
      </c>
      <c r="E172" s="406">
        <v>0</v>
      </c>
      <c r="F172" s="403"/>
      <c r="G172" s="404" t="s">
        <v>1103</v>
      </c>
      <c r="H172" s="336" t="s">
        <v>1723</v>
      </c>
      <c r="I172" s="403"/>
      <c r="J172" s="336" t="s">
        <v>922</v>
      </c>
      <c r="K172" s="336" t="s">
        <v>923</v>
      </c>
      <c r="L172" s="336" t="s">
        <v>1525</v>
      </c>
      <c r="M172" s="336" t="s">
        <v>924</v>
      </c>
      <c r="N172" s="336" t="s">
        <v>918</v>
      </c>
      <c r="O172" s="408">
        <v>154198.68</v>
      </c>
      <c r="P172" s="408">
        <v>0</v>
      </c>
      <c r="Q172" s="403"/>
      <c r="R172" s="403"/>
      <c r="S172" s="336" t="s">
        <v>864</v>
      </c>
      <c r="T172" s="403"/>
      <c r="U172" s="403"/>
      <c r="V172" s="403"/>
      <c r="W172" s="403"/>
      <c r="X172" s="403"/>
      <c r="Y172" s="403"/>
      <c r="Z172" s="408">
        <v>154198.68</v>
      </c>
    </row>
    <row r="173" spans="2:26" x14ac:dyDescent="0.3">
      <c r="B173" s="407" t="s">
        <v>924</v>
      </c>
      <c r="C173" s="404" t="s">
        <v>855</v>
      </c>
      <c r="D173" s="406">
        <v>154198.68</v>
      </c>
      <c r="E173" s="406">
        <v>0</v>
      </c>
      <c r="F173" s="403"/>
      <c r="G173" s="404" t="s">
        <v>1103</v>
      </c>
      <c r="H173" s="336" t="s">
        <v>1723</v>
      </c>
      <c r="I173" s="403"/>
      <c r="J173" s="336" t="s">
        <v>922</v>
      </c>
      <c r="K173" s="336" t="s">
        <v>923</v>
      </c>
      <c r="L173" s="336" t="s">
        <v>1525</v>
      </c>
      <c r="M173" s="336" t="s">
        <v>924</v>
      </c>
      <c r="N173" s="336" t="s">
        <v>918</v>
      </c>
      <c r="O173" s="408">
        <v>154198.68</v>
      </c>
      <c r="P173" s="408">
        <v>0</v>
      </c>
      <c r="Q173" s="403"/>
      <c r="R173" s="403"/>
      <c r="S173" s="336" t="s">
        <v>864</v>
      </c>
      <c r="T173" s="403"/>
      <c r="U173" s="403"/>
      <c r="V173" s="403"/>
      <c r="W173" s="403"/>
      <c r="X173" s="403"/>
      <c r="Y173" s="408">
        <v>154198.68</v>
      </c>
      <c r="Z173" s="403"/>
    </row>
    <row r="174" spans="2:26" x14ac:dyDescent="0.3">
      <c r="B174" s="407" t="s">
        <v>918</v>
      </c>
      <c r="C174" s="404" t="s">
        <v>853</v>
      </c>
      <c r="D174" s="406">
        <v>-848.38</v>
      </c>
      <c r="E174" s="406">
        <v>0</v>
      </c>
      <c r="F174" s="403"/>
      <c r="G174" s="404" t="s">
        <v>1103</v>
      </c>
      <c r="H174" s="336" t="s">
        <v>1723</v>
      </c>
      <c r="I174" s="403"/>
      <c r="J174" s="336" t="s">
        <v>925</v>
      </c>
      <c r="K174" s="336" t="s">
        <v>926</v>
      </c>
      <c r="L174" s="336" t="s">
        <v>1486</v>
      </c>
      <c r="M174" s="336" t="s">
        <v>824</v>
      </c>
      <c r="N174" s="336" t="s">
        <v>918</v>
      </c>
      <c r="O174" s="408">
        <v>848.38</v>
      </c>
      <c r="P174" s="408">
        <v>0</v>
      </c>
      <c r="Q174" s="403"/>
      <c r="R174" s="403"/>
      <c r="S174" s="336" t="s">
        <v>860</v>
      </c>
      <c r="T174" s="403"/>
      <c r="U174" s="403"/>
      <c r="V174" s="403"/>
      <c r="W174" s="403"/>
      <c r="X174" s="403"/>
      <c r="Y174" s="403"/>
      <c r="Z174" s="408">
        <v>848.38</v>
      </c>
    </row>
    <row r="175" spans="2:26" x14ac:dyDescent="0.3">
      <c r="B175" s="407" t="s">
        <v>824</v>
      </c>
      <c r="C175" s="404" t="s">
        <v>855</v>
      </c>
      <c r="D175" s="406">
        <v>848.38</v>
      </c>
      <c r="E175" s="406">
        <v>0</v>
      </c>
      <c r="F175" s="403"/>
      <c r="G175" s="404" t="s">
        <v>1103</v>
      </c>
      <c r="H175" s="336" t="s">
        <v>1723</v>
      </c>
      <c r="I175" s="403"/>
      <c r="J175" s="336" t="s">
        <v>925</v>
      </c>
      <c r="K175" s="336" t="s">
        <v>926</v>
      </c>
      <c r="L175" s="336" t="s">
        <v>1486</v>
      </c>
      <c r="M175" s="336" t="s">
        <v>824</v>
      </c>
      <c r="N175" s="336" t="s">
        <v>918</v>
      </c>
      <c r="O175" s="408">
        <v>848.38</v>
      </c>
      <c r="P175" s="408">
        <v>0</v>
      </c>
      <c r="Q175" s="403"/>
      <c r="R175" s="403"/>
      <c r="S175" s="336" t="s">
        <v>860</v>
      </c>
      <c r="T175" s="403"/>
      <c r="U175" s="403"/>
      <c r="V175" s="403"/>
      <c r="W175" s="403"/>
      <c r="X175" s="403"/>
      <c r="Y175" s="408">
        <v>848.38</v>
      </c>
      <c r="Z175" s="403"/>
    </row>
    <row r="176" spans="2:26" x14ac:dyDescent="0.3">
      <c r="B176" s="407" t="s">
        <v>918</v>
      </c>
      <c r="C176" s="404" t="s">
        <v>853</v>
      </c>
      <c r="D176" s="406">
        <v>-1512.09</v>
      </c>
      <c r="E176" s="406">
        <v>0</v>
      </c>
      <c r="F176" s="403"/>
      <c r="G176" s="404" t="s">
        <v>1103</v>
      </c>
      <c r="H176" s="336" t="s">
        <v>1723</v>
      </c>
      <c r="I176" s="403"/>
      <c r="J176" s="336" t="s">
        <v>927</v>
      </c>
      <c r="K176" s="336" t="s">
        <v>928</v>
      </c>
      <c r="L176" s="336" t="s">
        <v>1526</v>
      </c>
      <c r="M176" s="336" t="s">
        <v>824</v>
      </c>
      <c r="N176" s="336" t="s">
        <v>918</v>
      </c>
      <c r="O176" s="408">
        <v>1512.09</v>
      </c>
      <c r="P176" s="408">
        <v>0</v>
      </c>
      <c r="Q176" s="403"/>
      <c r="R176" s="403"/>
      <c r="S176" s="336" t="s">
        <v>862</v>
      </c>
      <c r="T176" s="403"/>
      <c r="U176" s="403"/>
      <c r="V176" s="403"/>
      <c r="W176" s="403"/>
      <c r="X176" s="403"/>
      <c r="Y176" s="403"/>
      <c r="Z176" s="408">
        <v>1512.09</v>
      </c>
    </row>
    <row r="177" spans="2:26" x14ac:dyDescent="0.3">
      <c r="B177" s="407" t="s">
        <v>824</v>
      </c>
      <c r="C177" s="404" t="s">
        <v>855</v>
      </c>
      <c r="D177" s="406">
        <v>1512.09</v>
      </c>
      <c r="E177" s="406">
        <v>0</v>
      </c>
      <c r="F177" s="403"/>
      <c r="G177" s="404" t="s">
        <v>1103</v>
      </c>
      <c r="H177" s="336" t="s">
        <v>1723</v>
      </c>
      <c r="I177" s="403"/>
      <c r="J177" s="336" t="s">
        <v>927</v>
      </c>
      <c r="K177" s="336" t="s">
        <v>928</v>
      </c>
      <c r="L177" s="336" t="s">
        <v>1526</v>
      </c>
      <c r="M177" s="336" t="s">
        <v>824</v>
      </c>
      <c r="N177" s="336" t="s">
        <v>918</v>
      </c>
      <c r="O177" s="408">
        <v>1512.09</v>
      </c>
      <c r="P177" s="408">
        <v>0</v>
      </c>
      <c r="Q177" s="403"/>
      <c r="R177" s="403"/>
      <c r="S177" s="336" t="s">
        <v>862</v>
      </c>
      <c r="T177" s="403"/>
      <c r="U177" s="403"/>
      <c r="V177" s="403"/>
      <c r="W177" s="403"/>
      <c r="X177" s="403"/>
      <c r="Y177" s="408">
        <v>1512.09</v>
      </c>
      <c r="Z177" s="403"/>
    </row>
    <row r="178" spans="2:26" x14ac:dyDescent="0.3">
      <c r="B178" s="407" t="s">
        <v>802</v>
      </c>
      <c r="C178" s="404" t="s">
        <v>853</v>
      </c>
      <c r="D178" s="406">
        <v>-6921.2</v>
      </c>
      <c r="E178" s="406">
        <v>0</v>
      </c>
      <c r="F178" s="403"/>
      <c r="G178" s="404" t="s">
        <v>1103</v>
      </c>
      <c r="H178" s="336" t="s">
        <v>1723</v>
      </c>
      <c r="I178" s="405" t="s">
        <v>856</v>
      </c>
      <c r="J178" s="336" t="s">
        <v>1724</v>
      </c>
      <c r="K178" s="336" t="s">
        <v>1780</v>
      </c>
      <c r="L178" s="336" t="s">
        <v>1483</v>
      </c>
      <c r="M178" s="336" t="s">
        <v>826</v>
      </c>
      <c r="N178" s="336" t="s">
        <v>802</v>
      </c>
      <c r="O178" s="408">
        <v>6921.2</v>
      </c>
      <c r="P178" s="408">
        <v>0</v>
      </c>
      <c r="Q178" s="403"/>
      <c r="R178" s="403"/>
      <c r="S178" s="336" t="s">
        <v>1726</v>
      </c>
      <c r="T178" s="403"/>
      <c r="U178" s="403"/>
      <c r="V178" s="403"/>
      <c r="W178" s="403"/>
      <c r="X178" s="403"/>
      <c r="Y178" s="403"/>
      <c r="Z178" s="408">
        <v>6921.2</v>
      </c>
    </row>
    <row r="179" spans="2:26" x14ac:dyDescent="0.3">
      <c r="B179" s="407" t="s">
        <v>826</v>
      </c>
      <c r="C179" s="404" t="s">
        <v>855</v>
      </c>
      <c r="D179" s="406">
        <v>6921.2</v>
      </c>
      <c r="E179" s="406">
        <v>0</v>
      </c>
      <c r="F179" s="403"/>
      <c r="G179" s="404" t="s">
        <v>1103</v>
      </c>
      <c r="H179" s="336" t="s">
        <v>1723</v>
      </c>
      <c r="I179" s="405" t="s">
        <v>856</v>
      </c>
      <c r="J179" s="336" t="s">
        <v>1724</v>
      </c>
      <c r="K179" s="336" t="s">
        <v>1780</v>
      </c>
      <c r="L179" s="336" t="s">
        <v>1483</v>
      </c>
      <c r="M179" s="336" t="s">
        <v>826</v>
      </c>
      <c r="N179" s="336" t="s">
        <v>802</v>
      </c>
      <c r="O179" s="408">
        <v>6921.2</v>
      </c>
      <c r="P179" s="408">
        <v>0</v>
      </c>
      <c r="Q179" s="403"/>
      <c r="R179" s="403"/>
      <c r="S179" s="336" t="s">
        <v>1726</v>
      </c>
      <c r="T179" s="403"/>
      <c r="U179" s="403"/>
      <c r="V179" s="403"/>
      <c r="W179" s="403"/>
      <c r="X179" s="403"/>
      <c r="Y179" s="408">
        <v>6921.2</v>
      </c>
      <c r="Z179" s="403"/>
    </row>
    <row r="180" spans="2:26" x14ac:dyDescent="0.3">
      <c r="B180" s="407" t="s">
        <v>834</v>
      </c>
      <c r="C180" s="404" t="s">
        <v>853</v>
      </c>
      <c r="D180" s="406">
        <v>-3021455.3499999996</v>
      </c>
      <c r="E180" s="406">
        <v>-122301.37000000001</v>
      </c>
      <c r="F180" s="404" t="s">
        <v>15</v>
      </c>
      <c r="G180" s="404" t="s">
        <v>1103</v>
      </c>
      <c r="H180" s="336" t="s">
        <v>1723</v>
      </c>
      <c r="I180" s="405" t="s">
        <v>865</v>
      </c>
      <c r="J180" s="336" t="s">
        <v>1727</v>
      </c>
      <c r="K180" s="336" t="s">
        <v>1728</v>
      </c>
      <c r="L180" s="403"/>
      <c r="M180" s="336" t="s">
        <v>772</v>
      </c>
      <c r="N180" s="336" t="s">
        <v>834</v>
      </c>
      <c r="O180" s="408">
        <v>3021455.3499999996</v>
      </c>
      <c r="P180" s="408">
        <v>122301.37000000001</v>
      </c>
      <c r="Q180" s="405" t="s">
        <v>15</v>
      </c>
      <c r="R180" s="405" t="s">
        <v>1547</v>
      </c>
      <c r="S180" s="336" t="s">
        <v>1518</v>
      </c>
      <c r="T180" s="403"/>
      <c r="U180" s="403"/>
      <c r="V180" s="403"/>
      <c r="W180" s="403"/>
      <c r="X180" s="403"/>
      <c r="Y180" s="403"/>
      <c r="Z180" s="408">
        <v>3021455.3499999996</v>
      </c>
    </row>
    <row r="181" spans="2:26" x14ac:dyDescent="0.3">
      <c r="B181" s="407" t="s">
        <v>772</v>
      </c>
      <c r="C181" s="404" t="s">
        <v>855</v>
      </c>
      <c r="D181" s="406">
        <v>3021455.3499999996</v>
      </c>
      <c r="E181" s="406">
        <v>122301.37000000001</v>
      </c>
      <c r="F181" s="404" t="s">
        <v>15</v>
      </c>
      <c r="G181" s="404" t="s">
        <v>1103</v>
      </c>
      <c r="H181" s="336" t="s">
        <v>1723</v>
      </c>
      <c r="I181" s="405" t="s">
        <v>865</v>
      </c>
      <c r="J181" s="336" t="s">
        <v>1727</v>
      </c>
      <c r="K181" s="336" t="s">
        <v>1728</v>
      </c>
      <c r="L181" s="403"/>
      <c r="M181" s="336" t="s">
        <v>772</v>
      </c>
      <c r="N181" s="336" t="s">
        <v>834</v>
      </c>
      <c r="O181" s="408">
        <v>3021455.3499999996</v>
      </c>
      <c r="P181" s="408">
        <v>122301.37000000001</v>
      </c>
      <c r="Q181" s="405" t="s">
        <v>15</v>
      </c>
      <c r="R181" s="405" t="s">
        <v>1547</v>
      </c>
      <c r="S181" s="336" t="s">
        <v>1518</v>
      </c>
      <c r="T181" s="403"/>
      <c r="U181" s="403"/>
      <c r="V181" s="403"/>
      <c r="W181" s="403"/>
      <c r="X181" s="403"/>
      <c r="Y181" s="408">
        <v>3021455.3499999996</v>
      </c>
      <c r="Z181" s="403"/>
    </row>
    <row r="182" spans="2:26" x14ac:dyDescent="0.3">
      <c r="B182" s="407" t="s">
        <v>818</v>
      </c>
      <c r="C182" s="404" t="s">
        <v>853</v>
      </c>
      <c r="D182" s="406">
        <v>-2779312.5</v>
      </c>
      <c r="E182" s="406">
        <v>-112500</v>
      </c>
      <c r="F182" s="404" t="s">
        <v>15</v>
      </c>
      <c r="G182" s="404" t="s">
        <v>1103</v>
      </c>
      <c r="H182" s="336" t="s">
        <v>1723</v>
      </c>
      <c r="I182" s="405" t="s">
        <v>865</v>
      </c>
      <c r="J182" s="336" t="s">
        <v>1729</v>
      </c>
      <c r="K182" s="336" t="s">
        <v>1730</v>
      </c>
      <c r="L182" s="403"/>
      <c r="M182" s="336" t="s">
        <v>828</v>
      </c>
      <c r="N182" s="336" t="s">
        <v>818</v>
      </c>
      <c r="O182" s="408">
        <v>2779312.5</v>
      </c>
      <c r="P182" s="408">
        <v>112500</v>
      </c>
      <c r="Q182" s="405" t="s">
        <v>15</v>
      </c>
      <c r="R182" s="405" t="s">
        <v>1547</v>
      </c>
      <c r="S182" s="336" t="s">
        <v>1517</v>
      </c>
      <c r="T182" s="403"/>
      <c r="U182" s="403"/>
      <c r="V182" s="403"/>
      <c r="W182" s="403"/>
      <c r="X182" s="403"/>
      <c r="Y182" s="403"/>
      <c r="Z182" s="408">
        <v>2779312.5</v>
      </c>
    </row>
    <row r="183" spans="2:26" x14ac:dyDescent="0.3">
      <c r="B183" s="407" t="s">
        <v>828</v>
      </c>
      <c r="C183" s="404" t="s">
        <v>855</v>
      </c>
      <c r="D183" s="406">
        <v>2779312.5</v>
      </c>
      <c r="E183" s="406">
        <v>112500</v>
      </c>
      <c r="F183" s="404" t="s">
        <v>15</v>
      </c>
      <c r="G183" s="404" t="s">
        <v>1103</v>
      </c>
      <c r="H183" s="336" t="s">
        <v>1723</v>
      </c>
      <c r="I183" s="405" t="s">
        <v>865</v>
      </c>
      <c r="J183" s="336" t="s">
        <v>1729</v>
      </c>
      <c r="K183" s="336" t="s">
        <v>1730</v>
      </c>
      <c r="L183" s="403"/>
      <c r="M183" s="336" t="s">
        <v>828</v>
      </c>
      <c r="N183" s="336" t="s">
        <v>818</v>
      </c>
      <c r="O183" s="408">
        <v>2779312.5</v>
      </c>
      <c r="P183" s="408">
        <v>112500</v>
      </c>
      <c r="Q183" s="405" t="s">
        <v>15</v>
      </c>
      <c r="R183" s="405" t="s">
        <v>1547</v>
      </c>
      <c r="S183" s="336" t="s">
        <v>1517</v>
      </c>
      <c r="T183" s="403"/>
      <c r="U183" s="403"/>
      <c r="V183" s="403"/>
      <c r="W183" s="403"/>
      <c r="X183" s="403"/>
      <c r="Y183" s="408">
        <v>2779312.5</v>
      </c>
      <c r="Z183" s="403"/>
    </row>
    <row r="184" spans="2:26" x14ac:dyDescent="0.3">
      <c r="B184" s="407" t="s">
        <v>800</v>
      </c>
      <c r="C184" s="404" t="s">
        <v>853</v>
      </c>
      <c r="D184" s="406">
        <v>-12.11</v>
      </c>
      <c r="E184" s="406">
        <v>-0.49000000000000005</v>
      </c>
      <c r="F184" s="404" t="s">
        <v>15</v>
      </c>
      <c r="G184" s="404" t="s">
        <v>1103</v>
      </c>
      <c r="H184" s="336" t="s">
        <v>1723</v>
      </c>
      <c r="I184" s="405" t="s">
        <v>866</v>
      </c>
      <c r="J184" s="336" t="s">
        <v>1123</v>
      </c>
      <c r="K184" s="336" t="s">
        <v>869</v>
      </c>
      <c r="L184" s="403"/>
      <c r="M184" s="336" t="s">
        <v>832</v>
      </c>
      <c r="N184" s="336" t="s">
        <v>800</v>
      </c>
      <c r="O184" s="408">
        <v>12.11</v>
      </c>
      <c r="P184" s="408">
        <v>0.49000000000000005</v>
      </c>
      <c r="Q184" s="405" t="s">
        <v>15</v>
      </c>
      <c r="R184" s="405" t="s">
        <v>1547</v>
      </c>
      <c r="S184" s="403"/>
      <c r="T184" s="403"/>
      <c r="U184" s="403"/>
      <c r="V184" s="403"/>
      <c r="W184" s="403"/>
      <c r="X184" s="403"/>
      <c r="Y184" s="403"/>
      <c r="Z184" s="408">
        <v>12.11</v>
      </c>
    </row>
    <row r="185" spans="2:26" x14ac:dyDescent="0.3">
      <c r="B185" s="407" t="s">
        <v>832</v>
      </c>
      <c r="C185" s="404" t="s">
        <v>855</v>
      </c>
      <c r="D185" s="406">
        <v>12.11</v>
      </c>
      <c r="E185" s="406">
        <v>0.49000000000000005</v>
      </c>
      <c r="F185" s="404" t="s">
        <v>15</v>
      </c>
      <c r="G185" s="404" t="s">
        <v>1103</v>
      </c>
      <c r="H185" s="336" t="s">
        <v>1723</v>
      </c>
      <c r="I185" s="405" t="s">
        <v>866</v>
      </c>
      <c r="J185" s="336" t="s">
        <v>1123</v>
      </c>
      <c r="K185" s="336" t="s">
        <v>869</v>
      </c>
      <c r="L185" s="403"/>
      <c r="M185" s="336" t="s">
        <v>832</v>
      </c>
      <c r="N185" s="336" t="s">
        <v>800</v>
      </c>
      <c r="O185" s="408">
        <v>12.11</v>
      </c>
      <c r="P185" s="408">
        <v>0.49000000000000005</v>
      </c>
      <c r="Q185" s="405" t="s">
        <v>15</v>
      </c>
      <c r="R185" s="405" t="s">
        <v>1547</v>
      </c>
      <c r="S185" s="403"/>
      <c r="T185" s="403"/>
      <c r="U185" s="403"/>
      <c r="V185" s="403"/>
      <c r="W185" s="403"/>
      <c r="X185" s="403"/>
      <c r="Y185" s="408">
        <v>12.11</v>
      </c>
      <c r="Z185" s="403"/>
    </row>
    <row r="186" spans="2:26" x14ac:dyDescent="0.3">
      <c r="B186" s="407" t="s">
        <v>800</v>
      </c>
      <c r="C186" s="404" t="s">
        <v>853</v>
      </c>
      <c r="D186" s="406">
        <v>-29.89</v>
      </c>
      <c r="E186" s="406">
        <v>-1.21</v>
      </c>
      <c r="F186" s="404" t="s">
        <v>15</v>
      </c>
      <c r="G186" s="404" t="s">
        <v>1103</v>
      </c>
      <c r="H186" s="336" t="s">
        <v>1723</v>
      </c>
      <c r="I186" s="405" t="s">
        <v>866</v>
      </c>
      <c r="J186" s="336" t="s">
        <v>1124</v>
      </c>
      <c r="K186" s="336" t="s">
        <v>869</v>
      </c>
      <c r="L186" s="403"/>
      <c r="M186" s="336" t="s">
        <v>832</v>
      </c>
      <c r="N186" s="336" t="s">
        <v>800</v>
      </c>
      <c r="O186" s="408">
        <v>29.89</v>
      </c>
      <c r="P186" s="408">
        <v>1.21</v>
      </c>
      <c r="Q186" s="405" t="s">
        <v>15</v>
      </c>
      <c r="R186" s="405" t="s">
        <v>1547</v>
      </c>
      <c r="S186" s="403"/>
      <c r="T186" s="403"/>
      <c r="U186" s="403"/>
      <c r="V186" s="403"/>
      <c r="W186" s="403"/>
      <c r="X186" s="403"/>
      <c r="Y186" s="403"/>
      <c r="Z186" s="408">
        <v>29.89</v>
      </c>
    </row>
    <row r="187" spans="2:26" x14ac:dyDescent="0.3">
      <c r="B187" s="407" t="s">
        <v>832</v>
      </c>
      <c r="C187" s="404" t="s">
        <v>855</v>
      </c>
      <c r="D187" s="406">
        <v>29.89</v>
      </c>
      <c r="E187" s="406">
        <v>1.21</v>
      </c>
      <c r="F187" s="404" t="s">
        <v>15</v>
      </c>
      <c r="G187" s="404" t="s">
        <v>1103</v>
      </c>
      <c r="H187" s="336" t="s">
        <v>1723</v>
      </c>
      <c r="I187" s="405" t="s">
        <v>866</v>
      </c>
      <c r="J187" s="336" t="s">
        <v>1124</v>
      </c>
      <c r="K187" s="336" t="s">
        <v>869</v>
      </c>
      <c r="L187" s="403"/>
      <c r="M187" s="336" t="s">
        <v>832</v>
      </c>
      <c r="N187" s="336" t="s">
        <v>800</v>
      </c>
      <c r="O187" s="408">
        <v>29.89</v>
      </c>
      <c r="P187" s="408">
        <v>1.21</v>
      </c>
      <c r="Q187" s="405" t="s">
        <v>15</v>
      </c>
      <c r="R187" s="405" t="s">
        <v>1547</v>
      </c>
      <c r="S187" s="403"/>
      <c r="T187" s="403"/>
      <c r="U187" s="403"/>
      <c r="V187" s="403"/>
      <c r="W187" s="403"/>
      <c r="X187" s="403"/>
      <c r="Y187" s="408">
        <v>29.89</v>
      </c>
      <c r="Z187" s="403"/>
    </row>
    <row r="188" spans="2:26" x14ac:dyDescent="0.3">
      <c r="B188" s="407" t="s">
        <v>800</v>
      </c>
      <c r="C188" s="404" t="s">
        <v>853</v>
      </c>
      <c r="D188" s="406">
        <v>-194.92000000000002</v>
      </c>
      <c r="E188" s="406">
        <v>-7.89</v>
      </c>
      <c r="F188" s="404" t="s">
        <v>15</v>
      </c>
      <c r="G188" s="404" t="s">
        <v>1103</v>
      </c>
      <c r="H188" s="336" t="s">
        <v>1723</v>
      </c>
      <c r="I188" s="405" t="s">
        <v>866</v>
      </c>
      <c r="J188" s="336" t="s">
        <v>1509</v>
      </c>
      <c r="K188" s="336" t="s">
        <v>869</v>
      </c>
      <c r="L188" s="403"/>
      <c r="M188" s="336" t="s">
        <v>832</v>
      </c>
      <c r="N188" s="336" t="s">
        <v>800</v>
      </c>
      <c r="O188" s="408">
        <v>194.92000000000002</v>
      </c>
      <c r="P188" s="408">
        <v>7.89</v>
      </c>
      <c r="Q188" s="405" t="s">
        <v>15</v>
      </c>
      <c r="R188" s="405" t="s">
        <v>1547</v>
      </c>
      <c r="S188" s="403"/>
      <c r="T188" s="403"/>
      <c r="U188" s="403"/>
      <c r="V188" s="403"/>
      <c r="W188" s="403"/>
      <c r="X188" s="403"/>
      <c r="Y188" s="403"/>
      <c r="Z188" s="408">
        <v>194.92000000000002</v>
      </c>
    </row>
    <row r="189" spans="2:26" x14ac:dyDescent="0.3">
      <c r="B189" s="407" t="s">
        <v>832</v>
      </c>
      <c r="C189" s="404" t="s">
        <v>855</v>
      </c>
      <c r="D189" s="406">
        <v>194.92000000000002</v>
      </c>
      <c r="E189" s="406">
        <v>7.89</v>
      </c>
      <c r="F189" s="404" t="s">
        <v>15</v>
      </c>
      <c r="G189" s="404" t="s">
        <v>1103</v>
      </c>
      <c r="H189" s="336" t="s">
        <v>1723</v>
      </c>
      <c r="I189" s="405" t="s">
        <v>866</v>
      </c>
      <c r="J189" s="336" t="s">
        <v>1509</v>
      </c>
      <c r="K189" s="336" t="s">
        <v>869</v>
      </c>
      <c r="L189" s="403"/>
      <c r="M189" s="336" t="s">
        <v>832</v>
      </c>
      <c r="N189" s="336" t="s">
        <v>800</v>
      </c>
      <c r="O189" s="408">
        <v>194.92000000000002</v>
      </c>
      <c r="P189" s="408">
        <v>7.89</v>
      </c>
      <c r="Q189" s="405" t="s">
        <v>15</v>
      </c>
      <c r="R189" s="405" t="s">
        <v>1547</v>
      </c>
      <c r="S189" s="403"/>
      <c r="T189" s="403"/>
      <c r="U189" s="403"/>
      <c r="V189" s="403"/>
      <c r="W189" s="403"/>
      <c r="X189" s="403"/>
      <c r="Y189" s="408">
        <v>194.92000000000002</v>
      </c>
      <c r="Z189" s="403"/>
    </row>
    <row r="190" spans="2:26" x14ac:dyDescent="0.3">
      <c r="B190" s="407" t="s">
        <v>800</v>
      </c>
      <c r="C190" s="404" t="s">
        <v>853</v>
      </c>
      <c r="D190" s="406">
        <v>-319.68</v>
      </c>
      <c r="E190" s="406">
        <v>-12.94</v>
      </c>
      <c r="F190" s="404" t="s">
        <v>15</v>
      </c>
      <c r="G190" s="404" t="s">
        <v>1103</v>
      </c>
      <c r="H190" s="336" t="s">
        <v>1723</v>
      </c>
      <c r="I190" s="405" t="s">
        <v>866</v>
      </c>
      <c r="J190" s="336" t="s">
        <v>1722</v>
      </c>
      <c r="K190" s="336" t="s">
        <v>869</v>
      </c>
      <c r="L190" s="403"/>
      <c r="M190" s="336" t="s">
        <v>832</v>
      </c>
      <c r="N190" s="336" t="s">
        <v>800</v>
      </c>
      <c r="O190" s="408">
        <v>319.68</v>
      </c>
      <c r="P190" s="408">
        <v>12.94</v>
      </c>
      <c r="Q190" s="405" t="s">
        <v>15</v>
      </c>
      <c r="R190" s="405" t="s">
        <v>1547</v>
      </c>
      <c r="S190" s="403"/>
      <c r="T190" s="403"/>
      <c r="U190" s="403"/>
      <c r="V190" s="403"/>
      <c r="W190" s="403"/>
      <c r="X190" s="403"/>
      <c r="Y190" s="403"/>
      <c r="Z190" s="408">
        <v>319.68</v>
      </c>
    </row>
    <row r="191" spans="2:26" x14ac:dyDescent="0.3">
      <c r="B191" s="407" t="s">
        <v>832</v>
      </c>
      <c r="C191" s="404" t="s">
        <v>855</v>
      </c>
      <c r="D191" s="406">
        <v>319.68</v>
      </c>
      <c r="E191" s="406">
        <v>12.94</v>
      </c>
      <c r="F191" s="404" t="s">
        <v>15</v>
      </c>
      <c r="G191" s="404" t="s">
        <v>1103</v>
      </c>
      <c r="H191" s="336" t="s">
        <v>1723</v>
      </c>
      <c r="I191" s="405" t="s">
        <v>866</v>
      </c>
      <c r="J191" s="336" t="s">
        <v>1722</v>
      </c>
      <c r="K191" s="336" t="s">
        <v>869</v>
      </c>
      <c r="L191" s="403"/>
      <c r="M191" s="336" t="s">
        <v>832</v>
      </c>
      <c r="N191" s="336" t="s">
        <v>800</v>
      </c>
      <c r="O191" s="408">
        <v>319.68</v>
      </c>
      <c r="P191" s="408">
        <v>12.94</v>
      </c>
      <c r="Q191" s="405" t="s">
        <v>15</v>
      </c>
      <c r="R191" s="405" t="s">
        <v>1547</v>
      </c>
      <c r="S191" s="403"/>
      <c r="T191" s="403"/>
      <c r="U191" s="403"/>
      <c r="V191" s="403"/>
      <c r="W191" s="403"/>
      <c r="X191" s="403"/>
      <c r="Y191" s="408">
        <v>319.68</v>
      </c>
      <c r="Z191" s="403"/>
    </row>
    <row r="192" spans="2:26" x14ac:dyDescent="0.3">
      <c r="B192" s="407" t="s">
        <v>800</v>
      </c>
      <c r="C192" s="404" t="s">
        <v>853</v>
      </c>
      <c r="D192" s="406">
        <v>-33477.57</v>
      </c>
      <c r="E192" s="406">
        <v>-1351.81</v>
      </c>
      <c r="F192" s="404" t="s">
        <v>15</v>
      </c>
      <c r="G192" s="404" t="s">
        <v>1125</v>
      </c>
      <c r="H192" s="336" t="s">
        <v>1731</v>
      </c>
      <c r="I192" s="405" t="s">
        <v>866</v>
      </c>
      <c r="J192" s="336" t="s">
        <v>1127</v>
      </c>
      <c r="K192" s="336" t="s">
        <v>1781</v>
      </c>
      <c r="L192" s="336" t="s">
        <v>1482</v>
      </c>
      <c r="M192" s="336" t="s">
        <v>802</v>
      </c>
      <c r="N192" s="336" t="s">
        <v>800</v>
      </c>
      <c r="O192" s="408">
        <v>33477.57</v>
      </c>
      <c r="P192" s="408">
        <v>1351.81</v>
      </c>
      <c r="Q192" s="405" t="s">
        <v>15</v>
      </c>
      <c r="R192" s="405" t="s">
        <v>1733</v>
      </c>
      <c r="S192" s="336" t="s">
        <v>1714</v>
      </c>
      <c r="T192" s="403"/>
      <c r="U192" s="403"/>
      <c r="V192" s="403"/>
      <c r="W192" s="403"/>
      <c r="X192" s="403"/>
      <c r="Y192" s="403"/>
      <c r="Z192" s="408">
        <v>33477.57</v>
      </c>
    </row>
    <row r="193" spans="2:26" x14ac:dyDescent="0.3">
      <c r="B193" s="407" t="s">
        <v>802</v>
      </c>
      <c r="C193" s="404" t="s">
        <v>855</v>
      </c>
      <c r="D193" s="406">
        <v>33477.57</v>
      </c>
      <c r="E193" s="406">
        <v>1351.81</v>
      </c>
      <c r="F193" s="404" t="s">
        <v>15</v>
      </c>
      <c r="G193" s="404" t="s">
        <v>1125</v>
      </c>
      <c r="H193" s="336" t="s">
        <v>1731</v>
      </c>
      <c r="I193" s="405" t="s">
        <v>866</v>
      </c>
      <c r="J193" s="336" t="s">
        <v>1127</v>
      </c>
      <c r="K193" s="336" t="s">
        <v>1781</v>
      </c>
      <c r="L193" s="336" t="s">
        <v>1482</v>
      </c>
      <c r="M193" s="336" t="s">
        <v>802</v>
      </c>
      <c r="N193" s="336" t="s">
        <v>800</v>
      </c>
      <c r="O193" s="408">
        <v>33477.57</v>
      </c>
      <c r="P193" s="408">
        <v>1351.81</v>
      </c>
      <c r="Q193" s="405" t="s">
        <v>15</v>
      </c>
      <c r="R193" s="405" t="s">
        <v>1733</v>
      </c>
      <c r="S193" s="336" t="s">
        <v>1714</v>
      </c>
      <c r="T193" s="403"/>
      <c r="U193" s="403"/>
      <c r="V193" s="403"/>
      <c r="W193" s="403"/>
      <c r="X193" s="403"/>
      <c r="Y193" s="408">
        <v>33477.57</v>
      </c>
      <c r="Z193" s="403"/>
    </row>
    <row r="194" spans="2:26" x14ac:dyDescent="0.3">
      <c r="B194" s="407" t="s">
        <v>800</v>
      </c>
      <c r="C194" s="404" t="s">
        <v>853</v>
      </c>
      <c r="D194" s="406">
        <v>-1294.47</v>
      </c>
      <c r="E194" s="406">
        <v>-52.27</v>
      </c>
      <c r="F194" s="404" t="s">
        <v>15</v>
      </c>
      <c r="G194" s="404" t="s">
        <v>1125</v>
      </c>
      <c r="H194" s="336" t="s">
        <v>1731</v>
      </c>
      <c r="I194" s="405" t="s">
        <v>866</v>
      </c>
      <c r="J194" s="336" t="s">
        <v>1127</v>
      </c>
      <c r="K194" s="403"/>
      <c r="L194" s="336" t="s">
        <v>1482</v>
      </c>
      <c r="M194" s="336" t="s">
        <v>830</v>
      </c>
      <c r="N194" s="336" t="s">
        <v>800</v>
      </c>
      <c r="O194" s="408">
        <v>1294.47</v>
      </c>
      <c r="P194" s="408">
        <v>52.27</v>
      </c>
      <c r="Q194" s="405" t="s">
        <v>15</v>
      </c>
      <c r="R194" s="405" t="s">
        <v>1733</v>
      </c>
      <c r="S194" s="336" t="s">
        <v>1714</v>
      </c>
      <c r="T194" s="403"/>
      <c r="U194" s="403"/>
      <c r="V194" s="403"/>
      <c r="W194" s="403"/>
      <c r="X194" s="403"/>
      <c r="Y194" s="403"/>
      <c r="Z194" s="408">
        <v>1294.47</v>
      </c>
    </row>
    <row r="195" spans="2:26" x14ac:dyDescent="0.3">
      <c r="B195" s="407" t="s">
        <v>830</v>
      </c>
      <c r="C195" s="404" t="s">
        <v>855</v>
      </c>
      <c r="D195" s="406">
        <v>1294.47</v>
      </c>
      <c r="E195" s="406">
        <v>52.27</v>
      </c>
      <c r="F195" s="404" t="s">
        <v>15</v>
      </c>
      <c r="G195" s="404" t="s">
        <v>1125</v>
      </c>
      <c r="H195" s="336" t="s">
        <v>1731</v>
      </c>
      <c r="I195" s="405" t="s">
        <v>866</v>
      </c>
      <c r="J195" s="336" t="s">
        <v>1127</v>
      </c>
      <c r="K195" s="403"/>
      <c r="L195" s="336" t="s">
        <v>1482</v>
      </c>
      <c r="M195" s="336" t="s">
        <v>830</v>
      </c>
      <c r="N195" s="336" t="s">
        <v>800</v>
      </c>
      <c r="O195" s="408">
        <v>1294.47</v>
      </c>
      <c r="P195" s="408">
        <v>52.27</v>
      </c>
      <c r="Q195" s="405" t="s">
        <v>15</v>
      </c>
      <c r="R195" s="405" t="s">
        <v>1733</v>
      </c>
      <c r="S195" s="336" t="s">
        <v>1714</v>
      </c>
      <c r="T195" s="403"/>
      <c r="U195" s="403"/>
      <c r="V195" s="403"/>
      <c r="W195" s="403"/>
      <c r="X195" s="403"/>
      <c r="Y195" s="408">
        <v>1294.47</v>
      </c>
      <c r="Z195" s="403"/>
    </row>
    <row r="196" spans="2:26" x14ac:dyDescent="0.3">
      <c r="B196" s="407" t="s">
        <v>800</v>
      </c>
      <c r="C196" s="404" t="s">
        <v>853</v>
      </c>
      <c r="D196" s="406">
        <v>-70817.86</v>
      </c>
      <c r="E196" s="406">
        <v>-2867.12</v>
      </c>
      <c r="F196" s="404" t="s">
        <v>15</v>
      </c>
      <c r="G196" s="404" t="s">
        <v>1125</v>
      </c>
      <c r="H196" s="336" t="s">
        <v>1734</v>
      </c>
      <c r="I196" s="405" t="s">
        <v>866</v>
      </c>
      <c r="J196" s="336" t="s">
        <v>1130</v>
      </c>
      <c r="K196" s="336" t="s">
        <v>1767</v>
      </c>
      <c r="L196" s="403"/>
      <c r="M196" s="336" t="s">
        <v>1009</v>
      </c>
      <c r="N196" s="336" t="s">
        <v>800</v>
      </c>
      <c r="O196" s="408">
        <v>70817.86</v>
      </c>
      <c r="P196" s="408">
        <v>2867.12</v>
      </c>
      <c r="Q196" s="405" t="s">
        <v>15</v>
      </c>
      <c r="R196" s="405" t="s">
        <v>1735</v>
      </c>
      <c r="S196" s="336" t="s">
        <v>1074</v>
      </c>
      <c r="T196" s="403"/>
      <c r="U196" s="403"/>
      <c r="V196" s="403"/>
      <c r="W196" s="403"/>
      <c r="X196" s="403"/>
      <c r="Y196" s="403"/>
      <c r="Z196" s="408">
        <v>70817.86</v>
      </c>
    </row>
    <row r="197" spans="2:26" x14ac:dyDescent="0.3">
      <c r="B197" s="407" t="s">
        <v>1009</v>
      </c>
      <c r="C197" s="404" t="s">
        <v>855</v>
      </c>
      <c r="D197" s="406">
        <v>70817.86</v>
      </c>
      <c r="E197" s="406">
        <v>2867.12</v>
      </c>
      <c r="F197" s="404" t="s">
        <v>15</v>
      </c>
      <c r="G197" s="404" t="s">
        <v>1125</v>
      </c>
      <c r="H197" s="336" t="s">
        <v>1734</v>
      </c>
      <c r="I197" s="405" t="s">
        <v>866</v>
      </c>
      <c r="J197" s="336" t="s">
        <v>1130</v>
      </c>
      <c r="K197" s="336" t="s">
        <v>1767</v>
      </c>
      <c r="L197" s="403"/>
      <c r="M197" s="336" t="s">
        <v>1009</v>
      </c>
      <c r="N197" s="336" t="s">
        <v>800</v>
      </c>
      <c r="O197" s="408">
        <v>70817.86</v>
      </c>
      <c r="P197" s="408">
        <v>2867.12</v>
      </c>
      <c r="Q197" s="405" t="s">
        <v>15</v>
      </c>
      <c r="R197" s="405" t="s">
        <v>1735</v>
      </c>
      <c r="S197" s="336" t="s">
        <v>1074</v>
      </c>
      <c r="T197" s="403"/>
      <c r="U197" s="403"/>
      <c r="V197" s="403"/>
      <c r="W197" s="403"/>
      <c r="X197" s="403"/>
      <c r="Y197" s="408">
        <v>70817.86</v>
      </c>
      <c r="Z197" s="403"/>
    </row>
    <row r="198" spans="2:26" x14ac:dyDescent="0.3">
      <c r="B198" s="407" t="s">
        <v>800</v>
      </c>
      <c r="C198" s="404" t="s">
        <v>853</v>
      </c>
      <c r="D198" s="406">
        <v>-6921.2</v>
      </c>
      <c r="E198" s="406">
        <v>-287.58</v>
      </c>
      <c r="F198" s="404" t="s">
        <v>15</v>
      </c>
      <c r="G198" s="404" t="s">
        <v>1125</v>
      </c>
      <c r="H198" s="336" t="s">
        <v>1736</v>
      </c>
      <c r="I198" s="405" t="s">
        <v>866</v>
      </c>
      <c r="J198" s="336" t="s">
        <v>1131</v>
      </c>
      <c r="K198" s="336" t="s">
        <v>1782</v>
      </c>
      <c r="L198" s="336" t="s">
        <v>1483</v>
      </c>
      <c r="M198" s="336" t="s">
        <v>802</v>
      </c>
      <c r="N198" s="336" t="s">
        <v>800</v>
      </c>
      <c r="O198" s="408">
        <v>6921.2</v>
      </c>
      <c r="P198" s="408">
        <v>287.58</v>
      </c>
      <c r="Q198" s="405" t="s">
        <v>15</v>
      </c>
      <c r="R198" s="405" t="s">
        <v>1738</v>
      </c>
      <c r="S198" s="336" t="s">
        <v>1726</v>
      </c>
      <c r="T198" s="403"/>
      <c r="U198" s="403"/>
      <c r="V198" s="403"/>
      <c r="W198" s="403"/>
      <c r="X198" s="403"/>
      <c r="Y198" s="403"/>
      <c r="Z198" s="408">
        <v>6921.2</v>
      </c>
    </row>
    <row r="199" spans="2:26" x14ac:dyDescent="0.3">
      <c r="B199" s="407" t="s">
        <v>802</v>
      </c>
      <c r="C199" s="404" t="s">
        <v>855</v>
      </c>
      <c r="D199" s="406">
        <v>6921.2</v>
      </c>
      <c r="E199" s="406">
        <v>287.58</v>
      </c>
      <c r="F199" s="404" t="s">
        <v>15</v>
      </c>
      <c r="G199" s="404" t="s">
        <v>1125</v>
      </c>
      <c r="H199" s="336" t="s">
        <v>1736</v>
      </c>
      <c r="I199" s="405" t="s">
        <v>866</v>
      </c>
      <c r="J199" s="336" t="s">
        <v>1131</v>
      </c>
      <c r="K199" s="336" t="s">
        <v>1782</v>
      </c>
      <c r="L199" s="336" t="s">
        <v>1483</v>
      </c>
      <c r="M199" s="336" t="s">
        <v>802</v>
      </c>
      <c r="N199" s="336" t="s">
        <v>800</v>
      </c>
      <c r="O199" s="408">
        <v>6921.2</v>
      </c>
      <c r="P199" s="408">
        <v>287.58</v>
      </c>
      <c r="Q199" s="405" t="s">
        <v>15</v>
      </c>
      <c r="R199" s="405" t="s">
        <v>1738</v>
      </c>
      <c r="S199" s="336" t="s">
        <v>1726</v>
      </c>
      <c r="T199" s="403"/>
      <c r="U199" s="403"/>
      <c r="V199" s="403"/>
      <c r="W199" s="403"/>
      <c r="X199" s="403"/>
      <c r="Y199" s="408">
        <v>6921.2</v>
      </c>
      <c r="Z199" s="403"/>
    </row>
    <row r="200" spans="2:26" x14ac:dyDescent="0.3">
      <c r="B200" s="407" t="s">
        <v>919</v>
      </c>
      <c r="C200" s="404" t="s">
        <v>853</v>
      </c>
      <c r="D200" s="406">
        <v>-41907.229999999996</v>
      </c>
      <c r="E200" s="406">
        <v>0</v>
      </c>
      <c r="F200" s="403"/>
      <c r="G200" s="404" t="s">
        <v>1125</v>
      </c>
      <c r="H200" s="336" t="s">
        <v>1739</v>
      </c>
      <c r="I200" s="403"/>
      <c r="J200" s="336" t="s">
        <v>920</v>
      </c>
      <c r="K200" s="336" t="s">
        <v>921</v>
      </c>
      <c r="L200" s="403"/>
      <c r="M200" s="336" t="s">
        <v>917</v>
      </c>
      <c r="N200" s="336" t="s">
        <v>919</v>
      </c>
      <c r="O200" s="408">
        <v>41907.229999999996</v>
      </c>
      <c r="P200" s="408">
        <v>0</v>
      </c>
      <c r="Q200" s="403"/>
      <c r="R200" s="403"/>
      <c r="S200" s="336" t="s">
        <v>858</v>
      </c>
      <c r="T200" s="403"/>
      <c r="U200" s="403"/>
      <c r="V200" s="403"/>
      <c r="W200" s="403"/>
      <c r="X200" s="403"/>
      <c r="Y200" s="403"/>
      <c r="Z200" s="408">
        <v>41907.229999999996</v>
      </c>
    </row>
    <row r="201" spans="2:26" x14ac:dyDescent="0.3">
      <c r="B201" s="407" t="s">
        <v>917</v>
      </c>
      <c r="C201" s="404" t="s">
        <v>855</v>
      </c>
      <c r="D201" s="406">
        <v>41907.229999999996</v>
      </c>
      <c r="E201" s="406">
        <v>0</v>
      </c>
      <c r="F201" s="403"/>
      <c r="G201" s="404" t="s">
        <v>1125</v>
      </c>
      <c r="H201" s="336" t="s">
        <v>1739</v>
      </c>
      <c r="I201" s="403"/>
      <c r="J201" s="336" t="s">
        <v>920</v>
      </c>
      <c r="K201" s="336" t="s">
        <v>921</v>
      </c>
      <c r="L201" s="403"/>
      <c r="M201" s="336" t="s">
        <v>917</v>
      </c>
      <c r="N201" s="336" t="s">
        <v>919</v>
      </c>
      <c r="O201" s="408">
        <v>41907.229999999996</v>
      </c>
      <c r="P201" s="408">
        <v>0</v>
      </c>
      <c r="Q201" s="403"/>
      <c r="R201" s="403"/>
      <c r="S201" s="336" t="s">
        <v>858</v>
      </c>
      <c r="T201" s="403"/>
      <c r="U201" s="403"/>
      <c r="V201" s="403"/>
      <c r="W201" s="403"/>
      <c r="X201" s="403"/>
      <c r="Y201" s="408">
        <v>41907.229999999996</v>
      </c>
      <c r="Z201" s="403"/>
    </row>
    <row r="202" spans="2:26" x14ac:dyDescent="0.3">
      <c r="B202" s="407" t="s">
        <v>918</v>
      </c>
      <c r="C202" s="404" t="s">
        <v>853</v>
      </c>
      <c r="D202" s="406">
        <v>-149224.54</v>
      </c>
      <c r="E202" s="406">
        <v>0</v>
      </c>
      <c r="F202" s="403"/>
      <c r="G202" s="404" t="s">
        <v>1125</v>
      </c>
      <c r="H202" s="336" t="s">
        <v>1739</v>
      </c>
      <c r="I202" s="403"/>
      <c r="J202" s="336" t="s">
        <v>922</v>
      </c>
      <c r="K202" s="336" t="s">
        <v>923</v>
      </c>
      <c r="L202" s="336" t="s">
        <v>1525</v>
      </c>
      <c r="M202" s="336" t="s">
        <v>924</v>
      </c>
      <c r="N202" s="336" t="s">
        <v>918</v>
      </c>
      <c r="O202" s="408">
        <v>149224.54</v>
      </c>
      <c r="P202" s="408">
        <v>0</v>
      </c>
      <c r="Q202" s="403"/>
      <c r="R202" s="403"/>
      <c r="S202" s="336" t="s">
        <v>864</v>
      </c>
      <c r="T202" s="403"/>
      <c r="U202" s="403"/>
      <c r="V202" s="403"/>
      <c r="W202" s="403"/>
      <c r="X202" s="403"/>
      <c r="Y202" s="403"/>
      <c r="Z202" s="408">
        <v>149224.54</v>
      </c>
    </row>
    <row r="203" spans="2:26" x14ac:dyDescent="0.3">
      <c r="B203" s="407" t="s">
        <v>924</v>
      </c>
      <c r="C203" s="404" t="s">
        <v>855</v>
      </c>
      <c r="D203" s="406">
        <v>149224.54</v>
      </c>
      <c r="E203" s="406">
        <v>0</v>
      </c>
      <c r="F203" s="403"/>
      <c r="G203" s="404" t="s">
        <v>1125</v>
      </c>
      <c r="H203" s="336" t="s">
        <v>1739</v>
      </c>
      <c r="I203" s="403"/>
      <c r="J203" s="336" t="s">
        <v>922</v>
      </c>
      <c r="K203" s="336" t="s">
        <v>923</v>
      </c>
      <c r="L203" s="336" t="s">
        <v>1525</v>
      </c>
      <c r="M203" s="336" t="s">
        <v>924</v>
      </c>
      <c r="N203" s="336" t="s">
        <v>918</v>
      </c>
      <c r="O203" s="408">
        <v>149224.54</v>
      </c>
      <c r="P203" s="408">
        <v>0</v>
      </c>
      <c r="Q203" s="403"/>
      <c r="R203" s="403"/>
      <c r="S203" s="336" t="s">
        <v>864</v>
      </c>
      <c r="T203" s="403"/>
      <c r="U203" s="403"/>
      <c r="V203" s="403"/>
      <c r="W203" s="403"/>
      <c r="X203" s="403"/>
      <c r="Y203" s="408">
        <v>149224.54</v>
      </c>
      <c r="Z203" s="403"/>
    </row>
    <row r="204" spans="2:26" x14ac:dyDescent="0.3">
      <c r="B204" s="407" t="s">
        <v>918</v>
      </c>
      <c r="C204" s="404" t="s">
        <v>853</v>
      </c>
      <c r="D204" s="406">
        <v>-821.02</v>
      </c>
      <c r="E204" s="406">
        <v>0</v>
      </c>
      <c r="F204" s="403"/>
      <c r="G204" s="404" t="s">
        <v>1125</v>
      </c>
      <c r="H204" s="336" t="s">
        <v>1739</v>
      </c>
      <c r="I204" s="403"/>
      <c r="J204" s="336" t="s">
        <v>925</v>
      </c>
      <c r="K204" s="336" t="s">
        <v>926</v>
      </c>
      <c r="L204" s="336" t="s">
        <v>1486</v>
      </c>
      <c r="M204" s="336" t="s">
        <v>824</v>
      </c>
      <c r="N204" s="336" t="s">
        <v>918</v>
      </c>
      <c r="O204" s="408">
        <v>821.02</v>
      </c>
      <c r="P204" s="408">
        <v>0</v>
      </c>
      <c r="Q204" s="403"/>
      <c r="R204" s="403"/>
      <c r="S204" s="336" t="s">
        <v>860</v>
      </c>
      <c r="T204" s="403"/>
      <c r="U204" s="403"/>
      <c r="V204" s="403"/>
      <c r="W204" s="403"/>
      <c r="X204" s="403"/>
      <c r="Y204" s="403"/>
      <c r="Z204" s="408">
        <v>821.02</v>
      </c>
    </row>
    <row r="205" spans="2:26" x14ac:dyDescent="0.3">
      <c r="B205" s="407" t="s">
        <v>824</v>
      </c>
      <c r="C205" s="404" t="s">
        <v>855</v>
      </c>
      <c r="D205" s="406">
        <v>821.02</v>
      </c>
      <c r="E205" s="406">
        <v>0</v>
      </c>
      <c r="F205" s="403"/>
      <c r="G205" s="404" t="s">
        <v>1125</v>
      </c>
      <c r="H205" s="336" t="s">
        <v>1739</v>
      </c>
      <c r="I205" s="403"/>
      <c r="J205" s="336" t="s">
        <v>925</v>
      </c>
      <c r="K205" s="336" t="s">
        <v>926</v>
      </c>
      <c r="L205" s="336" t="s">
        <v>1486</v>
      </c>
      <c r="M205" s="336" t="s">
        <v>824</v>
      </c>
      <c r="N205" s="336" t="s">
        <v>918</v>
      </c>
      <c r="O205" s="408">
        <v>821.02</v>
      </c>
      <c r="P205" s="408">
        <v>0</v>
      </c>
      <c r="Q205" s="403"/>
      <c r="R205" s="403"/>
      <c r="S205" s="336" t="s">
        <v>860</v>
      </c>
      <c r="T205" s="403"/>
      <c r="U205" s="403"/>
      <c r="V205" s="403"/>
      <c r="W205" s="403"/>
      <c r="X205" s="403"/>
      <c r="Y205" s="408">
        <v>821.02</v>
      </c>
      <c r="Z205" s="403"/>
    </row>
    <row r="206" spans="2:26" x14ac:dyDescent="0.3">
      <c r="B206" s="407" t="s">
        <v>918</v>
      </c>
      <c r="C206" s="404" t="s">
        <v>853</v>
      </c>
      <c r="D206" s="406">
        <v>-1463.32</v>
      </c>
      <c r="E206" s="406">
        <v>0</v>
      </c>
      <c r="F206" s="403"/>
      <c r="G206" s="404" t="s">
        <v>1125</v>
      </c>
      <c r="H206" s="336" t="s">
        <v>1739</v>
      </c>
      <c r="I206" s="403"/>
      <c r="J206" s="336" t="s">
        <v>927</v>
      </c>
      <c r="K206" s="336" t="s">
        <v>928</v>
      </c>
      <c r="L206" s="336" t="s">
        <v>1526</v>
      </c>
      <c r="M206" s="336" t="s">
        <v>824</v>
      </c>
      <c r="N206" s="336" t="s">
        <v>918</v>
      </c>
      <c r="O206" s="408">
        <v>1463.32</v>
      </c>
      <c r="P206" s="408">
        <v>0</v>
      </c>
      <c r="Q206" s="403"/>
      <c r="R206" s="403"/>
      <c r="S206" s="336" t="s">
        <v>862</v>
      </c>
      <c r="T206" s="403"/>
      <c r="U206" s="403"/>
      <c r="V206" s="403"/>
      <c r="W206" s="403"/>
      <c r="X206" s="403"/>
      <c r="Y206" s="403"/>
      <c r="Z206" s="408">
        <v>1463.32</v>
      </c>
    </row>
    <row r="207" spans="2:26" x14ac:dyDescent="0.3">
      <c r="B207" s="407" t="s">
        <v>824</v>
      </c>
      <c r="C207" s="404" t="s">
        <v>855</v>
      </c>
      <c r="D207" s="406">
        <v>1463.32</v>
      </c>
      <c r="E207" s="406">
        <v>0</v>
      </c>
      <c r="F207" s="403"/>
      <c r="G207" s="404" t="s">
        <v>1125</v>
      </c>
      <c r="H207" s="336" t="s">
        <v>1739</v>
      </c>
      <c r="I207" s="403"/>
      <c r="J207" s="336" t="s">
        <v>927</v>
      </c>
      <c r="K207" s="336" t="s">
        <v>928</v>
      </c>
      <c r="L207" s="336" t="s">
        <v>1526</v>
      </c>
      <c r="M207" s="336" t="s">
        <v>824</v>
      </c>
      <c r="N207" s="336" t="s">
        <v>918</v>
      </c>
      <c r="O207" s="408">
        <v>1463.32</v>
      </c>
      <c r="P207" s="408">
        <v>0</v>
      </c>
      <c r="Q207" s="403"/>
      <c r="R207" s="403"/>
      <c r="S207" s="336" t="s">
        <v>862</v>
      </c>
      <c r="T207" s="403"/>
      <c r="U207" s="403"/>
      <c r="V207" s="403"/>
      <c r="W207" s="403"/>
      <c r="X207" s="403"/>
      <c r="Y207" s="408">
        <v>1463.32</v>
      </c>
      <c r="Z207" s="403"/>
    </row>
    <row r="208" spans="2:26" x14ac:dyDescent="0.3">
      <c r="B208" s="407" t="s">
        <v>802</v>
      </c>
      <c r="C208" s="404" t="s">
        <v>853</v>
      </c>
      <c r="D208" s="406">
        <v>-6921.2</v>
      </c>
      <c r="E208" s="406">
        <v>0</v>
      </c>
      <c r="F208" s="403"/>
      <c r="G208" s="404" t="s">
        <v>1125</v>
      </c>
      <c r="H208" s="336" t="s">
        <v>1739</v>
      </c>
      <c r="I208" s="405" t="s">
        <v>856</v>
      </c>
      <c r="J208" s="336" t="s">
        <v>1740</v>
      </c>
      <c r="K208" s="336" t="s">
        <v>1783</v>
      </c>
      <c r="L208" s="336" t="s">
        <v>1483</v>
      </c>
      <c r="M208" s="336" t="s">
        <v>826</v>
      </c>
      <c r="N208" s="336" t="s">
        <v>802</v>
      </c>
      <c r="O208" s="408">
        <v>6921.2</v>
      </c>
      <c r="P208" s="408">
        <v>0</v>
      </c>
      <c r="Q208" s="403"/>
      <c r="R208" s="403"/>
      <c r="S208" s="336" t="s">
        <v>1742</v>
      </c>
      <c r="T208" s="403"/>
      <c r="U208" s="403"/>
      <c r="V208" s="403"/>
      <c r="W208" s="403"/>
      <c r="X208" s="403"/>
      <c r="Y208" s="403"/>
      <c r="Z208" s="408">
        <v>6921.2</v>
      </c>
    </row>
    <row r="209" spans="2:26" x14ac:dyDescent="0.3">
      <c r="B209" s="407" t="s">
        <v>826</v>
      </c>
      <c r="C209" s="404" t="s">
        <v>855</v>
      </c>
      <c r="D209" s="406">
        <v>6921.2</v>
      </c>
      <c r="E209" s="406">
        <v>0</v>
      </c>
      <c r="F209" s="403"/>
      <c r="G209" s="404" t="s">
        <v>1125</v>
      </c>
      <c r="H209" s="336" t="s">
        <v>1739</v>
      </c>
      <c r="I209" s="405" t="s">
        <v>856</v>
      </c>
      <c r="J209" s="336" t="s">
        <v>1740</v>
      </c>
      <c r="K209" s="336" t="s">
        <v>1783</v>
      </c>
      <c r="L209" s="336" t="s">
        <v>1483</v>
      </c>
      <c r="M209" s="336" t="s">
        <v>826</v>
      </c>
      <c r="N209" s="336" t="s">
        <v>802</v>
      </c>
      <c r="O209" s="408">
        <v>6921.2</v>
      </c>
      <c r="P209" s="408">
        <v>0</v>
      </c>
      <c r="Q209" s="403"/>
      <c r="R209" s="403"/>
      <c r="S209" s="336" t="s">
        <v>1742</v>
      </c>
      <c r="T209" s="403"/>
      <c r="U209" s="403"/>
      <c r="V209" s="403"/>
      <c r="W209" s="403"/>
      <c r="X209" s="403"/>
      <c r="Y209" s="408">
        <v>6921.2</v>
      </c>
      <c r="Z209" s="403"/>
    </row>
    <row r="210" spans="2:26" x14ac:dyDescent="0.3">
      <c r="B210" s="407" t="s">
        <v>802</v>
      </c>
      <c r="C210" s="404" t="s">
        <v>853</v>
      </c>
      <c r="D210" s="406">
        <v>-19057.21</v>
      </c>
      <c r="E210" s="406">
        <v>-755.04</v>
      </c>
      <c r="F210" s="404" t="s">
        <v>15</v>
      </c>
      <c r="G210" s="404" t="s">
        <v>1125</v>
      </c>
      <c r="H210" s="336" t="s">
        <v>1739</v>
      </c>
      <c r="I210" s="405" t="s">
        <v>856</v>
      </c>
      <c r="J210" s="336" t="s">
        <v>1743</v>
      </c>
      <c r="K210" s="336" t="s">
        <v>1080</v>
      </c>
      <c r="L210" s="336" t="s">
        <v>1483</v>
      </c>
      <c r="M210" s="336" t="s">
        <v>826</v>
      </c>
      <c r="N210" s="336" t="s">
        <v>802</v>
      </c>
      <c r="O210" s="408">
        <v>19057.21</v>
      </c>
      <c r="P210" s="408">
        <v>755.04</v>
      </c>
      <c r="Q210" s="405" t="s">
        <v>15</v>
      </c>
      <c r="R210" s="405" t="s">
        <v>1784</v>
      </c>
      <c r="S210" s="336" t="s">
        <v>1745</v>
      </c>
      <c r="T210" s="403"/>
      <c r="U210" s="403"/>
      <c r="V210" s="403"/>
      <c r="W210" s="403"/>
      <c r="X210" s="403"/>
      <c r="Y210" s="403"/>
      <c r="Z210" s="408">
        <v>19057.21</v>
      </c>
    </row>
    <row r="211" spans="2:26" x14ac:dyDescent="0.3">
      <c r="B211" s="407" t="s">
        <v>826</v>
      </c>
      <c r="C211" s="404" t="s">
        <v>855</v>
      </c>
      <c r="D211" s="406">
        <v>19057.21</v>
      </c>
      <c r="E211" s="406">
        <v>755.04</v>
      </c>
      <c r="F211" s="404" t="s">
        <v>15</v>
      </c>
      <c r="G211" s="404" t="s">
        <v>1125</v>
      </c>
      <c r="H211" s="336" t="s">
        <v>1739</v>
      </c>
      <c r="I211" s="405" t="s">
        <v>856</v>
      </c>
      <c r="J211" s="336" t="s">
        <v>1743</v>
      </c>
      <c r="K211" s="336" t="s">
        <v>1080</v>
      </c>
      <c r="L211" s="336" t="s">
        <v>1483</v>
      </c>
      <c r="M211" s="336" t="s">
        <v>826</v>
      </c>
      <c r="N211" s="336" t="s">
        <v>802</v>
      </c>
      <c r="O211" s="408">
        <v>19057.21</v>
      </c>
      <c r="P211" s="408">
        <v>755.04</v>
      </c>
      <c r="Q211" s="405" t="s">
        <v>15</v>
      </c>
      <c r="R211" s="405" t="s">
        <v>1784</v>
      </c>
      <c r="S211" s="336" t="s">
        <v>1745</v>
      </c>
      <c r="T211" s="403"/>
      <c r="U211" s="403"/>
      <c r="V211" s="403"/>
      <c r="W211" s="403"/>
      <c r="X211" s="403"/>
      <c r="Y211" s="408">
        <v>19057.21</v>
      </c>
      <c r="Z211" s="403"/>
    </row>
    <row r="212" spans="2:26" x14ac:dyDescent="0.3">
      <c r="B212" s="407" t="s">
        <v>834</v>
      </c>
      <c r="C212" s="404" t="s">
        <v>853</v>
      </c>
      <c r="D212" s="406">
        <v>-2962454.68</v>
      </c>
      <c r="E212" s="406">
        <v>-118356.16</v>
      </c>
      <c r="F212" s="404" t="s">
        <v>15</v>
      </c>
      <c r="G212" s="404" t="s">
        <v>1125</v>
      </c>
      <c r="H212" s="336" t="s">
        <v>1739</v>
      </c>
      <c r="I212" s="405" t="s">
        <v>865</v>
      </c>
      <c r="J212" s="336" t="s">
        <v>1746</v>
      </c>
      <c r="K212" s="336" t="s">
        <v>1747</v>
      </c>
      <c r="L212" s="403"/>
      <c r="M212" s="336" t="s">
        <v>772</v>
      </c>
      <c r="N212" s="336" t="s">
        <v>834</v>
      </c>
      <c r="O212" s="408">
        <v>2962454.68</v>
      </c>
      <c r="P212" s="408">
        <v>118356.16</v>
      </c>
      <c r="Q212" s="405" t="s">
        <v>15</v>
      </c>
      <c r="R212" s="405" t="s">
        <v>1748</v>
      </c>
      <c r="S212" s="336" t="s">
        <v>1518</v>
      </c>
      <c r="T212" s="403"/>
      <c r="U212" s="403"/>
      <c r="V212" s="403"/>
      <c r="W212" s="403"/>
      <c r="X212" s="403"/>
      <c r="Y212" s="403"/>
      <c r="Z212" s="408">
        <v>2962454.68</v>
      </c>
    </row>
    <row r="213" spans="2:26" x14ac:dyDescent="0.3">
      <c r="B213" s="407" t="s">
        <v>772</v>
      </c>
      <c r="C213" s="404" t="s">
        <v>855</v>
      </c>
      <c r="D213" s="406">
        <v>2962454.68</v>
      </c>
      <c r="E213" s="406">
        <v>118356.16</v>
      </c>
      <c r="F213" s="404" t="s">
        <v>15</v>
      </c>
      <c r="G213" s="404" t="s">
        <v>1125</v>
      </c>
      <c r="H213" s="336" t="s">
        <v>1739</v>
      </c>
      <c r="I213" s="405" t="s">
        <v>865</v>
      </c>
      <c r="J213" s="336" t="s">
        <v>1746</v>
      </c>
      <c r="K213" s="336" t="s">
        <v>1747</v>
      </c>
      <c r="L213" s="403"/>
      <c r="M213" s="336" t="s">
        <v>772</v>
      </c>
      <c r="N213" s="336" t="s">
        <v>834</v>
      </c>
      <c r="O213" s="408">
        <v>2962454.68</v>
      </c>
      <c r="P213" s="408">
        <v>118356.16</v>
      </c>
      <c r="Q213" s="405" t="s">
        <v>15</v>
      </c>
      <c r="R213" s="405" t="s">
        <v>1748</v>
      </c>
      <c r="S213" s="336" t="s">
        <v>1518</v>
      </c>
      <c r="T213" s="403"/>
      <c r="U213" s="403"/>
      <c r="V213" s="403"/>
      <c r="W213" s="403"/>
      <c r="X213" s="403"/>
      <c r="Y213" s="408">
        <v>2962454.68</v>
      </c>
      <c r="Z213" s="403"/>
    </row>
    <row r="214" spans="2:26" x14ac:dyDescent="0.3">
      <c r="B214" s="407" t="s">
        <v>818</v>
      </c>
      <c r="C214" s="404" t="s">
        <v>853</v>
      </c>
      <c r="D214" s="406">
        <v>-2815875</v>
      </c>
      <c r="E214" s="406">
        <v>-112500</v>
      </c>
      <c r="F214" s="404" t="s">
        <v>15</v>
      </c>
      <c r="G214" s="404" t="s">
        <v>1125</v>
      </c>
      <c r="H214" s="336" t="s">
        <v>1739</v>
      </c>
      <c r="I214" s="405" t="s">
        <v>865</v>
      </c>
      <c r="J214" s="336" t="s">
        <v>1749</v>
      </c>
      <c r="K214" s="336" t="s">
        <v>1750</v>
      </c>
      <c r="L214" s="403"/>
      <c r="M214" s="336" t="s">
        <v>828</v>
      </c>
      <c r="N214" s="336" t="s">
        <v>818</v>
      </c>
      <c r="O214" s="408">
        <v>2815875</v>
      </c>
      <c r="P214" s="408">
        <v>112500</v>
      </c>
      <c r="Q214" s="405" t="s">
        <v>15</v>
      </c>
      <c r="R214" s="405" t="s">
        <v>1748</v>
      </c>
      <c r="S214" s="336" t="s">
        <v>1517</v>
      </c>
      <c r="T214" s="403"/>
      <c r="U214" s="403"/>
      <c r="V214" s="403"/>
      <c r="W214" s="403"/>
      <c r="X214" s="403"/>
      <c r="Y214" s="403"/>
      <c r="Z214" s="408">
        <v>2815875</v>
      </c>
    </row>
    <row r="215" spans="2:26" x14ac:dyDescent="0.3">
      <c r="B215" s="407" t="s">
        <v>828</v>
      </c>
      <c r="C215" s="404" t="s">
        <v>855</v>
      </c>
      <c r="D215" s="406">
        <v>2815875</v>
      </c>
      <c r="E215" s="406">
        <v>112500</v>
      </c>
      <c r="F215" s="404" t="s">
        <v>15</v>
      </c>
      <c r="G215" s="404" t="s">
        <v>1125</v>
      </c>
      <c r="H215" s="336" t="s">
        <v>1739</v>
      </c>
      <c r="I215" s="405" t="s">
        <v>865</v>
      </c>
      <c r="J215" s="336" t="s">
        <v>1749</v>
      </c>
      <c r="K215" s="336" t="s">
        <v>1750</v>
      </c>
      <c r="L215" s="403"/>
      <c r="M215" s="336" t="s">
        <v>828</v>
      </c>
      <c r="N215" s="336" t="s">
        <v>818</v>
      </c>
      <c r="O215" s="408">
        <v>2815875</v>
      </c>
      <c r="P215" s="408">
        <v>112500</v>
      </c>
      <c r="Q215" s="405" t="s">
        <v>15</v>
      </c>
      <c r="R215" s="405" t="s">
        <v>1748</v>
      </c>
      <c r="S215" s="336" t="s">
        <v>1517</v>
      </c>
      <c r="T215" s="403"/>
      <c r="U215" s="403"/>
      <c r="V215" s="403"/>
      <c r="W215" s="403"/>
      <c r="X215" s="403"/>
      <c r="Y215" s="408">
        <v>2815875</v>
      </c>
      <c r="Z215" s="403"/>
    </row>
    <row r="216" spans="2:26" x14ac:dyDescent="0.3">
      <c r="B216" s="407" t="s">
        <v>800</v>
      </c>
      <c r="C216" s="404" t="s">
        <v>853</v>
      </c>
      <c r="D216" s="406">
        <v>-18.02</v>
      </c>
      <c r="E216" s="406">
        <v>-0.72000000000000008</v>
      </c>
      <c r="F216" s="404" t="s">
        <v>15</v>
      </c>
      <c r="G216" s="404" t="s">
        <v>1125</v>
      </c>
      <c r="H216" s="336" t="s">
        <v>1739</v>
      </c>
      <c r="I216" s="405" t="s">
        <v>866</v>
      </c>
      <c r="J216" s="336" t="s">
        <v>1132</v>
      </c>
      <c r="K216" s="336" t="s">
        <v>869</v>
      </c>
      <c r="L216" s="403"/>
      <c r="M216" s="336" t="s">
        <v>832</v>
      </c>
      <c r="N216" s="336" t="s">
        <v>800</v>
      </c>
      <c r="O216" s="408">
        <v>18.02</v>
      </c>
      <c r="P216" s="408">
        <v>0.72000000000000008</v>
      </c>
      <c r="Q216" s="405" t="s">
        <v>15</v>
      </c>
      <c r="R216" s="405" t="s">
        <v>1748</v>
      </c>
      <c r="S216" s="403"/>
      <c r="T216" s="403"/>
      <c r="U216" s="403"/>
      <c r="V216" s="403"/>
      <c r="W216" s="403"/>
      <c r="X216" s="403"/>
      <c r="Y216" s="403"/>
      <c r="Z216" s="408">
        <v>18.02</v>
      </c>
    </row>
    <row r="217" spans="2:26" x14ac:dyDescent="0.3">
      <c r="B217" s="407" t="s">
        <v>832</v>
      </c>
      <c r="C217" s="404" t="s">
        <v>855</v>
      </c>
      <c r="D217" s="406">
        <v>18.02</v>
      </c>
      <c r="E217" s="406">
        <v>0.72000000000000008</v>
      </c>
      <c r="F217" s="404" t="s">
        <v>15</v>
      </c>
      <c r="G217" s="404" t="s">
        <v>1125</v>
      </c>
      <c r="H217" s="336" t="s">
        <v>1739</v>
      </c>
      <c r="I217" s="405" t="s">
        <v>866</v>
      </c>
      <c r="J217" s="336" t="s">
        <v>1132</v>
      </c>
      <c r="K217" s="336" t="s">
        <v>869</v>
      </c>
      <c r="L217" s="403"/>
      <c r="M217" s="336" t="s">
        <v>832</v>
      </c>
      <c r="N217" s="336" t="s">
        <v>800</v>
      </c>
      <c r="O217" s="408">
        <v>18.02</v>
      </c>
      <c r="P217" s="408">
        <v>0.72000000000000008</v>
      </c>
      <c r="Q217" s="405" t="s">
        <v>15</v>
      </c>
      <c r="R217" s="405" t="s">
        <v>1748</v>
      </c>
      <c r="S217" s="403"/>
      <c r="T217" s="403"/>
      <c r="U217" s="403"/>
      <c r="V217" s="403"/>
      <c r="W217" s="403"/>
      <c r="X217" s="403"/>
      <c r="Y217" s="408">
        <v>18.02</v>
      </c>
      <c r="Z217" s="403"/>
    </row>
    <row r="218" spans="2:26" x14ac:dyDescent="0.3">
      <c r="B218" s="407" t="s">
        <v>800</v>
      </c>
      <c r="C218" s="404" t="s">
        <v>853</v>
      </c>
      <c r="D218" s="406">
        <v>-30.04</v>
      </c>
      <c r="E218" s="406">
        <v>-1.2</v>
      </c>
      <c r="F218" s="404" t="s">
        <v>15</v>
      </c>
      <c r="G218" s="404" t="s">
        <v>1125</v>
      </c>
      <c r="H218" s="336" t="s">
        <v>1739</v>
      </c>
      <c r="I218" s="405" t="s">
        <v>866</v>
      </c>
      <c r="J218" s="336" t="s">
        <v>1133</v>
      </c>
      <c r="K218" s="336" t="s">
        <v>869</v>
      </c>
      <c r="L218" s="403"/>
      <c r="M218" s="336" t="s">
        <v>832</v>
      </c>
      <c r="N218" s="336" t="s">
        <v>800</v>
      </c>
      <c r="O218" s="408">
        <v>30.04</v>
      </c>
      <c r="P218" s="408">
        <v>1.2</v>
      </c>
      <c r="Q218" s="405" t="s">
        <v>15</v>
      </c>
      <c r="R218" s="405" t="s">
        <v>1748</v>
      </c>
      <c r="S218" s="403"/>
      <c r="T218" s="403"/>
      <c r="U218" s="403"/>
      <c r="V218" s="403"/>
      <c r="W218" s="403"/>
      <c r="X218" s="403"/>
      <c r="Y218" s="403"/>
      <c r="Z218" s="408">
        <v>30.04</v>
      </c>
    </row>
    <row r="219" spans="2:26" x14ac:dyDescent="0.3">
      <c r="B219" s="407" t="s">
        <v>832</v>
      </c>
      <c r="C219" s="404" t="s">
        <v>855</v>
      </c>
      <c r="D219" s="406">
        <v>30.04</v>
      </c>
      <c r="E219" s="406">
        <v>1.2</v>
      </c>
      <c r="F219" s="404" t="s">
        <v>15</v>
      </c>
      <c r="G219" s="404" t="s">
        <v>1125</v>
      </c>
      <c r="H219" s="336" t="s">
        <v>1739</v>
      </c>
      <c r="I219" s="405" t="s">
        <v>866</v>
      </c>
      <c r="J219" s="336" t="s">
        <v>1133</v>
      </c>
      <c r="K219" s="336" t="s">
        <v>869</v>
      </c>
      <c r="L219" s="403"/>
      <c r="M219" s="336" t="s">
        <v>832</v>
      </c>
      <c r="N219" s="336" t="s">
        <v>800</v>
      </c>
      <c r="O219" s="408">
        <v>30.04</v>
      </c>
      <c r="P219" s="408">
        <v>1.2</v>
      </c>
      <c r="Q219" s="405" t="s">
        <v>15</v>
      </c>
      <c r="R219" s="405" t="s">
        <v>1748</v>
      </c>
      <c r="S219" s="403"/>
      <c r="T219" s="403"/>
      <c r="U219" s="403"/>
      <c r="V219" s="403"/>
      <c r="W219" s="403"/>
      <c r="X219" s="403"/>
      <c r="Y219" s="408">
        <v>30.04</v>
      </c>
      <c r="Z219" s="403"/>
    </row>
    <row r="220" spans="2:26" x14ac:dyDescent="0.3">
      <c r="B220" s="407" t="s">
        <v>800</v>
      </c>
      <c r="C220" s="404" t="s">
        <v>853</v>
      </c>
      <c r="D220" s="406">
        <v>-194.73</v>
      </c>
      <c r="E220" s="406">
        <v>-7.78</v>
      </c>
      <c r="F220" s="404" t="s">
        <v>15</v>
      </c>
      <c r="G220" s="404" t="s">
        <v>1125</v>
      </c>
      <c r="H220" s="336" t="s">
        <v>1739</v>
      </c>
      <c r="I220" s="405" t="s">
        <v>866</v>
      </c>
      <c r="J220" s="336" t="s">
        <v>1135</v>
      </c>
      <c r="K220" s="336" t="s">
        <v>869</v>
      </c>
      <c r="L220" s="403"/>
      <c r="M220" s="336" t="s">
        <v>832</v>
      </c>
      <c r="N220" s="336" t="s">
        <v>800</v>
      </c>
      <c r="O220" s="408">
        <v>194.73</v>
      </c>
      <c r="P220" s="408">
        <v>7.78</v>
      </c>
      <c r="Q220" s="405" t="s">
        <v>15</v>
      </c>
      <c r="R220" s="405" t="s">
        <v>1748</v>
      </c>
      <c r="S220" s="403"/>
      <c r="T220" s="403"/>
      <c r="U220" s="403"/>
      <c r="V220" s="403"/>
      <c r="W220" s="403"/>
      <c r="X220" s="403"/>
      <c r="Y220" s="403"/>
      <c r="Z220" s="408">
        <v>194.73</v>
      </c>
    </row>
    <row r="221" spans="2:26" x14ac:dyDescent="0.3">
      <c r="B221" s="407" t="s">
        <v>832</v>
      </c>
      <c r="C221" s="404" t="s">
        <v>855</v>
      </c>
      <c r="D221" s="406">
        <v>194.73</v>
      </c>
      <c r="E221" s="406">
        <v>7.78</v>
      </c>
      <c r="F221" s="404" t="s">
        <v>15</v>
      </c>
      <c r="G221" s="404" t="s">
        <v>1125</v>
      </c>
      <c r="H221" s="336" t="s">
        <v>1739</v>
      </c>
      <c r="I221" s="405" t="s">
        <v>866</v>
      </c>
      <c r="J221" s="336" t="s">
        <v>1135</v>
      </c>
      <c r="K221" s="336" t="s">
        <v>869</v>
      </c>
      <c r="L221" s="403"/>
      <c r="M221" s="336" t="s">
        <v>832</v>
      </c>
      <c r="N221" s="336" t="s">
        <v>800</v>
      </c>
      <c r="O221" s="408">
        <v>194.73</v>
      </c>
      <c r="P221" s="408">
        <v>7.78</v>
      </c>
      <c r="Q221" s="405" t="s">
        <v>15</v>
      </c>
      <c r="R221" s="405" t="s">
        <v>1748</v>
      </c>
      <c r="S221" s="403"/>
      <c r="T221" s="403"/>
      <c r="U221" s="403"/>
      <c r="V221" s="403"/>
      <c r="W221" s="403"/>
      <c r="X221" s="403"/>
      <c r="Y221" s="408">
        <v>194.73</v>
      </c>
      <c r="Z221" s="403"/>
    </row>
    <row r="222" spans="2:26" x14ac:dyDescent="0.3">
      <c r="B222" s="407" t="s">
        <v>800</v>
      </c>
      <c r="C222" s="404" t="s">
        <v>853</v>
      </c>
      <c r="D222" s="406">
        <v>-319.63</v>
      </c>
      <c r="E222" s="406">
        <v>-12.77</v>
      </c>
      <c r="F222" s="404" t="s">
        <v>15</v>
      </c>
      <c r="G222" s="404" t="s">
        <v>1125</v>
      </c>
      <c r="H222" s="336" t="s">
        <v>1739</v>
      </c>
      <c r="I222" s="405" t="s">
        <v>866</v>
      </c>
      <c r="J222" s="336" t="s">
        <v>1136</v>
      </c>
      <c r="K222" s="336" t="s">
        <v>869</v>
      </c>
      <c r="L222" s="403"/>
      <c r="M222" s="336" t="s">
        <v>832</v>
      </c>
      <c r="N222" s="336" t="s">
        <v>800</v>
      </c>
      <c r="O222" s="408">
        <v>319.63</v>
      </c>
      <c r="P222" s="408">
        <v>12.77</v>
      </c>
      <c r="Q222" s="405" t="s">
        <v>15</v>
      </c>
      <c r="R222" s="405" t="s">
        <v>1748</v>
      </c>
      <c r="S222" s="403"/>
      <c r="T222" s="403"/>
      <c r="U222" s="403"/>
      <c r="V222" s="403"/>
      <c r="W222" s="403"/>
      <c r="X222" s="403"/>
      <c r="Y222" s="403"/>
      <c r="Z222" s="408">
        <v>319.63</v>
      </c>
    </row>
    <row r="223" spans="2:26" x14ac:dyDescent="0.3">
      <c r="B223" s="407" t="s">
        <v>832</v>
      </c>
      <c r="C223" s="404" t="s">
        <v>855</v>
      </c>
      <c r="D223" s="406">
        <v>319.63</v>
      </c>
      <c r="E223" s="406">
        <v>12.77</v>
      </c>
      <c r="F223" s="404" t="s">
        <v>15</v>
      </c>
      <c r="G223" s="404" t="s">
        <v>1125</v>
      </c>
      <c r="H223" s="336" t="s">
        <v>1739</v>
      </c>
      <c r="I223" s="405" t="s">
        <v>866</v>
      </c>
      <c r="J223" s="336" t="s">
        <v>1136</v>
      </c>
      <c r="K223" s="336" t="s">
        <v>869</v>
      </c>
      <c r="L223" s="403"/>
      <c r="M223" s="336" t="s">
        <v>832</v>
      </c>
      <c r="N223" s="336" t="s">
        <v>800</v>
      </c>
      <c r="O223" s="408">
        <v>319.63</v>
      </c>
      <c r="P223" s="408">
        <v>12.77</v>
      </c>
      <c r="Q223" s="405" t="s">
        <v>15</v>
      </c>
      <c r="R223" s="405" t="s">
        <v>1748</v>
      </c>
      <c r="S223" s="403"/>
      <c r="T223" s="403"/>
      <c r="U223" s="403"/>
      <c r="V223" s="403"/>
      <c r="W223" s="403"/>
      <c r="X223" s="403"/>
      <c r="Y223" s="408">
        <v>319.63</v>
      </c>
      <c r="Z223" s="403"/>
    </row>
  </sheetData>
  <autoFilter ref="B2:Z223" xr:uid="{A08C4971-A67D-4125-983E-894EFA575BBC}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1DF3-A4CE-4321-B29D-814A9F6D370B}">
  <sheetPr codeName="List7"/>
  <dimension ref="A1"/>
  <sheetViews>
    <sheetView workbookViewId="0">
      <selection activeCell="G18" sqref="G18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C14E0-94A1-4870-8054-CE7CE501AE4F}">
  <sheetPr codeName="List8"/>
  <dimension ref="A1:AK99"/>
  <sheetViews>
    <sheetView topLeftCell="T42" workbookViewId="0">
      <selection activeCell="AE65" sqref="AE65"/>
    </sheetView>
  </sheetViews>
  <sheetFormatPr defaultRowHeight="14.4" x14ac:dyDescent="0.3"/>
  <cols>
    <col min="1" max="1" width="25.44140625" bestFit="1" customWidth="1"/>
    <col min="2" max="2" width="10.109375" bestFit="1" customWidth="1"/>
    <col min="3" max="3" width="13.44140625" bestFit="1" customWidth="1"/>
    <col min="4" max="4" width="10.5546875" bestFit="1" customWidth="1"/>
    <col min="5" max="5" width="13.44140625" bestFit="1" customWidth="1"/>
    <col min="6" max="8" width="12.88671875" bestFit="1" customWidth="1"/>
    <col min="9" max="9" width="19" bestFit="1" customWidth="1"/>
    <col min="10" max="10" width="12.33203125" bestFit="1" customWidth="1"/>
    <col min="11" max="11" width="16.21875" bestFit="1" customWidth="1"/>
    <col min="12" max="12" width="14.6640625" customWidth="1"/>
    <col min="14" max="14" width="25.44140625" bestFit="1" customWidth="1"/>
    <col min="15" max="15" width="10.109375" bestFit="1" customWidth="1"/>
    <col min="16" max="16" width="13.44140625" bestFit="1" customWidth="1"/>
    <col min="17" max="17" width="11.33203125" customWidth="1"/>
    <col min="18" max="18" width="13.33203125" customWidth="1"/>
    <col min="19" max="21" width="12.88671875" bestFit="1" customWidth="1"/>
    <col min="23" max="23" width="11.33203125" bestFit="1" customWidth="1"/>
    <col min="24" max="24" width="17.5546875" bestFit="1" customWidth="1"/>
    <col min="25" max="25" width="25.44140625" bestFit="1" customWidth="1"/>
    <col min="26" max="26" width="10.109375" bestFit="1" customWidth="1"/>
    <col min="27" max="27" width="13.44140625" bestFit="1" customWidth="1"/>
    <col min="28" max="28" width="11.33203125" customWidth="1"/>
    <col min="29" max="29" width="13.33203125" customWidth="1"/>
    <col min="30" max="32" width="12.88671875" bestFit="1" customWidth="1"/>
    <col min="34" max="34" width="11.33203125" bestFit="1" customWidth="1"/>
    <col min="35" max="35" width="17.5546875" bestFit="1" customWidth="1"/>
    <col min="36" max="37" width="11.33203125" bestFit="1" customWidth="1"/>
  </cols>
  <sheetData>
    <row r="1" spans="1:32" x14ac:dyDescent="0.3">
      <c r="Y1" s="492" t="s">
        <v>1594</v>
      </c>
      <c r="Z1" s="492"/>
      <c r="AA1" s="492"/>
      <c r="AB1" s="492"/>
      <c r="AC1" s="492"/>
      <c r="AD1" s="492"/>
    </row>
    <row r="2" spans="1:32" x14ac:dyDescent="0.3">
      <c r="A2" s="103" t="s">
        <v>27</v>
      </c>
      <c r="B2" s="104">
        <v>44516</v>
      </c>
      <c r="C2" s="103">
        <v>-30000000</v>
      </c>
      <c r="D2" s="1"/>
      <c r="E2" s="90" t="s">
        <v>775</v>
      </c>
      <c r="F2" s="105">
        <v>1E-3</v>
      </c>
      <c r="G2" s="1"/>
      <c r="H2" s="1"/>
      <c r="I2" t="s">
        <v>776</v>
      </c>
      <c r="K2" s="98" t="s">
        <v>38</v>
      </c>
      <c r="L2" s="98" t="s">
        <v>39</v>
      </c>
      <c r="N2" s="103" t="s">
        <v>27</v>
      </c>
      <c r="O2" s="104">
        <v>44561</v>
      </c>
      <c r="P2" s="103">
        <f>G35</f>
        <v>-29741386.755807333</v>
      </c>
      <c r="Q2" s="1"/>
      <c r="R2" s="90" t="s">
        <v>775</v>
      </c>
      <c r="S2" s="105">
        <v>5.0500000000000003E-2</v>
      </c>
      <c r="T2" s="1"/>
      <c r="U2" s="1"/>
      <c r="Y2" s="103" t="s">
        <v>27</v>
      </c>
      <c r="Z2" s="104">
        <v>44516</v>
      </c>
      <c r="AA2" s="103">
        <v>-30000000</v>
      </c>
      <c r="AB2" s="1"/>
      <c r="AC2" s="90" t="s">
        <v>775</v>
      </c>
      <c r="AD2" s="105">
        <v>4.8000000000000001E-2</v>
      </c>
      <c r="AE2" s="1"/>
      <c r="AF2" s="1"/>
    </row>
    <row r="3" spans="1:32" x14ac:dyDescent="0.3">
      <c r="A3" s="56" t="s">
        <v>777</v>
      </c>
      <c r="B3" s="27">
        <v>44516</v>
      </c>
      <c r="C3" s="56">
        <v>268900</v>
      </c>
      <c r="D3" s="1"/>
      <c r="E3" s="106"/>
      <c r="F3" s="1"/>
      <c r="G3" s="1"/>
      <c r="H3" s="1"/>
      <c r="I3" t="s">
        <v>778</v>
      </c>
      <c r="J3" s="65">
        <v>30000000</v>
      </c>
      <c r="K3" s="98" t="s">
        <v>779</v>
      </c>
      <c r="L3" s="98" t="s">
        <v>779</v>
      </c>
      <c r="N3" s="56" t="s">
        <v>777</v>
      </c>
      <c r="O3" s="27"/>
      <c r="P3" s="56"/>
      <c r="Q3" s="1" t="s">
        <v>1287</v>
      </c>
      <c r="R3" s="106"/>
      <c r="S3" s="1"/>
      <c r="T3" s="1"/>
      <c r="U3" s="1"/>
      <c r="Y3" s="56" t="s">
        <v>777</v>
      </c>
      <c r="Z3" s="27">
        <v>44516</v>
      </c>
      <c r="AA3" s="56">
        <v>268900</v>
      </c>
      <c r="AB3" s="1" t="s">
        <v>1287</v>
      </c>
      <c r="AC3" s="106"/>
      <c r="AD3" s="1"/>
      <c r="AE3" s="1"/>
      <c r="AF3" s="1"/>
    </row>
    <row r="4" spans="1:32" x14ac:dyDescent="0.3">
      <c r="A4" s="21" t="s">
        <v>780</v>
      </c>
      <c r="B4" s="33">
        <v>44516</v>
      </c>
      <c r="C4" s="21"/>
      <c r="D4" s="1"/>
      <c r="E4" s="1"/>
      <c r="F4" s="1"/>
      <c r="G4" s="1"/>
      <c r="H4" s="1"/>
      <c r="I4" t="s">
        <v>781</v>
      </c>
      <c r="J4" s="65">
        <v>268900</v>
      </c>
      <c r="K4" s="98" t="s">
        <v>782</v>
      </c>
      <c r="L4" s="98" t="s">
        <v>783</v>
      </c>
      <c r="N4" s="21" t="s">
        <v>1444</v>
      </c>
      <c r="O4" s="33"/>
      <c r="P4" s="21"/>
      <c r="Q4" s="1"/>
      <c r="R4" s="1"/>
      <c r="S4" s="1"/>
      <c r="T4" s="1"/>
      <c r="U4" s="1"/>
      <c r="Y4" s="21" t="s">
        <v>1444</v>
      </c>
      <c r="Z4" s="33">
        <v>44561</v>
      </c>
      <c r="AA4" s="65"/>
      <c r="AB4" s="1"/>
      <c r="AC4" s="1"/>
      <c r="AD4" s="1"/>
      <c r="AE4" s="1"/>
      <c r="AF4" s="1"/>
    </row>
    <row r="5" spans="1:32" x14ac:dyDescent="0.3">
      <c r="A5" s="21" t="s">
        <v>780</v>
      </c>
      <c r="B5" s="33">
        <v>44592</v>
      </c>
      <c r="C5" s="21"/>
      <c r="D5" s="1"/>
      <c r="E5" s="1"/>
      <c r="F5" s="1"/>
      <c r="G5" s="1"/>
      <c r="H5" s="1"/>
      <c r="I5" t="s">
        <v>56</v>
      </c>
      <c r="J5" s="65"/>
      <c r="K5" s="98" t="s">
        <v>784</v>
      </c>
      <c r="L5" s="98" t="s">
        <v>784</v>
      </c>
      <c r="N5" s="21" t="s">
        <v>780</v>
      </c>
      <c r="O5" s="33">
        <v>44592</v>
      </c>
      <c r="P5" s="21"/>
      <c r="Q5" s="1"/>
      <c r="R5" s="1"/>
      <c r="S5" s="1"/>
      <c r="T5" s="1"/>
      <c r="U5" s="1"/>
      <c r="Y5" s="21" t="s">
        <v>780</v>
      </c>
      <c r="Z5" s="33">
        <v>44592</v>
      </c>
      <c r="AA5" s="21"/>
      <c r="AB5" s="1"/>
      <c r="AC5" s="1"/>
      <c r="AD5" s="1"/>
      <c r="AE5" s="1"/>
      <c r="AF5" s="1"/>
    </row>
    <row r="6" spans="1:32" x14ac:dyDescent="0.3">
      <c r="A6" s="21" t="s">
        <v>30</v>
      </c>
      <c r="B6" s="33">
        <v>44620</v>
      </c>
      <c r="C6" s="21">
        <v>3698.6301369862999</v>
      </c>
      <c r="D6" s="1"/>
      <c r="E6" s="1"/>
      <c r="F6" s="1"/>
      <c r="G6" s="1"/>
      <c r="H6" s="1"/>
      <c r="L6" s="65"/>
      <c r="N6" s="21" t="s">
        <v>30</v>
      </c>
      <c r="O6" s="33">
        <v>44620</v>
      </c>
      <c r="P6" s="21">
        <v>3698.63</v>
      </c>
      <c r="Q6" s="1"/>
      <c r="R6" s="1"/>
      <c r="S6" s="1"/>
      <c r="T6" s="1"/>
      <c r="U6" s="1"/>
      <c r="Y6" s="21" t="s">
        <v>30</v>
      </c>
      <c r="Z6" s="33">
        <v>44620</v>
      </c>
      <c r="AA6" s="21">
        <f>C6</f>
        <v>3698.6301369862999</v>
      </c>
      <c r="AB6" s="1"/>
      <c r="AC6" s="1"/>
      <c r="AD6" s="1"/>
      <c r="AE6" s="1"/>
      <c r="AF6" s="1"/>
    </row>
    <row r="7" spans="1:32" x14ac:dyDescent="0.3">
      <c r="A7" s="21" t="s">
        <v>30</v>
      </c>
      <c r="B7" s="33">
        <v>44651</v>
      </c>
      <c r="C7" s="21">
        <v>7397.2602739726026</v>
      </c>
      <c r="D7" s="2"/>
      <c r="E7" s="1"/>
      <c r="F7" s="1"/>
      <c r="G7" s="1"/>
      <c r="H7" s="1"/>
      <c r="L7" s="65"/>
      <c r="N7" s="21" t="s">
        <v>30</v>
      </c>
      <c r="O7" s="33">
        <v>44651</v>
      </c>
      <c r="P7" s="21"/>
      <c r="Q7" s="2"/>
      <c r="R7" s="1"/>
      <c r="S7" s="1"/>
      <c r="T7" s="1"/>
      <c r="U7" s="1"/>
      <c r="Y7" s="21" t="s">
        <v>30</v>
      </c>
      <c r="Z7" s="33">
        <v>44651</v>
      </c>
      <c r="AA7" s="21"/>
      <c r="AB7" s="2"/>
      <c r="AC7" s="1"/>
      <c r="AD7" s="1"/>
      <c r="AE7" s="1"/>
      <c r="AF7" s="1"/>
    </row>
    <row r="8" spans="1:32" x14ac:dyDescent="0.3">
      <c r="A8" s="21" t="s">
        <v>30</v>
      </c>
      <c r="B8" s="33">
        <v>44742</v>
      </c>
      <c r="C8" s="21">
        <v>7479.4520547945203</v>
      </c>
      <c r="D8" s="2"/>
      <c r="E8" s="1"/>
      <c r="F8" s="1"/>
      <c r="G8" s="1"/>
      <c r="H8" s="1"/>
      <c r="N8" s="21" t="s">
        <v>30</v>
      </c>
      <c r="O8" s="33">
        <v>44834</v>
      </c>
      <c r="P8" s="56"/>
      <c r="Q8" s="2"/>
      <c r="R8" s="382">
        <f>SUM(P2:P5)</f>
        <v>-29741386.755807333</v>
      </c>
      <c r="S8" s="1" t="s">
        <v>1445</v>
      </c>
      <c r="T8" s="1"/>
      <c r="U8" s="1"/>
      <c r="Y8" s="21" t="s">
        <v>30</v>
      </c>
      <c r="Z8" s="33">
        <v>44834</v>
      </c>
      <c r="AA8" s="56"/>
      <c r="AB8" s="2"/>
      <c r="AF8" s="1"/>
    </row>
    <row r="9" spans="1:32" x14ac:dyDescent="0.3">
      <c r="A9" s="21" t="s">
        <v>30</v>
      </c>
      <c r="B9" s="33">
        <v>44834</v>
      </c>
      <c r="C9" s="21">
        <v>7561.6438356164399</v>
      </c>
      <c r="D9" s="2"/>
      <c r="E9" s="1"/>
      <c r="F9" s="1"/>
      <c r="G9" s="1"/>
      <c r="H9" s="1"/>
      <c r="L9">
        <v>-30000000</v>
      </c>
      <c r="N9" s="21" t="s">
        <v>30</v>
      </c>
      <c r="O9" s="33">
        <v>44874</v>
      </c>
      <c r="P9" s="21">
        <f>-'půjčka výpočet'!F13</f>
        <v>1350000</v>
      </c>
      <c r="Q9" s="2"/>
      <c r="R9" s="1"/>
      <c r="S9" s="1"/>
      <c r="T9" s="1"/>
      <c r="U9" s="1"/>
      <c r="Y9" s="21" t="s">
        <v>30</v>
      </c>
      <c r="Z9" s="33">
        <v>44874</v>
      </c>
      <c r="AA9" s="21">
        <f>-'půjčka výpočet'!$F$13</f>
        <v>1350000</v>
      </c>
      <c r="AB9" s="2"/>
      <c r="AC9" s="1"/>
      <c r="AD9" s="1"/>
      <c r="AE9" s="1"/>
      <c r="AF9" s="1"/>
    </row>
    <row r="10" spans="1:32" x14ac:dyDescent="0.3">
      <c r="A10" s="21" t="s">
        <v>30</v>
      </c>
      <c r="B10" s="33">
        <v>44926</v>
      </c>
      <c r="C10" s="21">
        <v>7561.6438356164399</v>
      </c>
      <c r="D10" s="2"/>
      <c r="E10" s="1"/>
      <c r="F10" s="1"/>
      <c r="G10" s="1"/>
      <c r="H10" s="1"/>
      <c r="L10">
        <v>268900</v>
      </c>
      <c r="N10" s="21" t="s">
        <v>30</v>
      </c>
      <c r="O10" s="33">
        <v>44926</v>
      </c>
      <c r="P10" s="21">
        <f>-'půjčka výpočet'!F14</f>
        <v>165000</v>
      </c>
      <c r="Q10" s="2"/>
      <c r="R10" s="1"/>
      <c r="S10" s="1"/>
      <c r="T10" s="1"/>
      <c r="U10" s="1"/>
      <c r="Y10" s="21" t="s">
        <v>30</v>
      </c>
      <c r="Z10" s="33">
        <v>44926</v>
      </c>
      <c r="AA10" s="21">
        <f>-'půjčka výpočet'!$F$14</f>
        <v>165000</v>
      </c>
      <c r="AB10" s="2"/>
      <c r="AC10" s="1"/>
      <c r="AD10" s="1"/>
      <c r="AE10" s="1"/>
      <c r="AF10" s="1"/>
    </row>
    <row r="11" spans="1:32" x14ac:dyDescent="0.3">
      <c r="A11" s="21"/>
      <c r="B11" s="33"/>
      <c r="C11" s="21"/>
      <c r="D11" s="2"/>
      <c r="E11" s="1"/>
      <c r="F11" s="1"/>
      <c r="G11" s="1"/>
      <c r="H11" s="1"/>
      <c r="N11" s="21"/>
      <c r="O11" s="33"/>
      <c r="P11" s="21"/>
      <c r="Q11" s="2"/>
      <c r="R11" s="1"/>
      <c r="S11" s="1"/>
      <c r="T11" s="1"/>
      <c r="U11" s="1"/>
      <c r="Y11" s="21" t="s">
        <v>1444</v>
      </c>
      <c r="Z11" s="33">
        <v>44927</v>
      </c>
      <c r="AA11" s="188"/>
      <c r="AB11" s="2"/>
      <c r="AC11" s="1"/>
      <c r="AD11" s="1"/>
      <c r="AE11" s="1"/>
      <c r="AF11" s="1"/>
    </row>
    <row r="12" spans="1:32" x14ac:dyDescent="0.3">
      <c r="A12" s="21" t="s">
        <v>30</v>
      </c>
      <c r="B12" s="33">
        <v>45016</v>
      </c>
      <c r="C12" s="21">
        <v>7397.2602739725999</v>
      </c>
      <c r="D12" s="2"/>
      <c r="E12" s="1"/>
      <c r="F12" s="1"/>
      <c r="G12" s="1"/>
      <c r="H12" s="1"/>
      <c r="L12">
        <v>150000</v>
      </c>
      <c r="N12" s="21" t="s">
        <v>30</v>
      </c>
      <c r="O12" s="33">
        <v>45016</v>
      </c>
      <c r="P12" s="21">
        <f>-'půjčka výpočet'!F15</f>
        <v>0</v>
      </c>
      <c r="Q12" s="2"/>
      <c r="R12" s="1"/>
      <c r="S12" s="1"/>
      <c r="T12" s="1"/>
      <c r="U12" s="1"/>
      <c r="Y12" s="21" t="s">
        <v>30</v>
      </c>
      <c r="Z12" s="33">
        <v>45016</v>
      </c>
      <c r="AA12" s="21">
        <f>-'půjčka výpočet'!R15</f>
        <v>0</v>
      </c>
      <c r="AB12" s="2"/>
      <c r="AC12" s="1"/>
      <c r="AD12" s="1"/>
      <c r="AE12" s="1"/>
      <c r="AF12" s="1"/>
    </row>
    <row r="13" spans="1:32" x14ac:dyDescent="0.3">
      <c r="A13" s="21" t="s">
        <v>30</v>
      </c>
      <c r="B13" s="33">
        <v>45107</v>
      </c>
      <c r="C13" s="21">
        <v>7479.4520547945203</v>
      </c>
      <c r="D13" s="2"/>
      <c r="E13" s="1"/>
      <c r="F13" s="1"/>
      <c r="G13" s="1"/>
      <c r="H13" s="1"/>
      <c r="L13">
        <v>30000000</v>
      </c>
      <c r="N13" s="21" t="s">
        <v>30</v>
      </c>
      <c r="O13" s="33">
        <v>45107</v>
      </c>
      <c r="P13" s="21">
        <f>-'půjčka výpočet'!F16</f>
        <v>0</v>
      </c>
      <c r="Q13" s="2"/>
      <c r="R13" s="1"/>
      <c r="S13" s="1"/>
      <c r="T13" s="1"/>
      <c r="U13" s="1"/>
      <c r="Y13" s="21" t="s">
        <v>30</v>
      </c>
      <c r="Z13" s="33">
        <v>45108</v>
      </c>
      <c r="AA13" s="382">
        <f>T53</f>
        <v>-30557152.657362215</v>
      </c>
      <c r="AB13" s="2"/>
      <c r="AC13" s="382">
        <v>-30554263.161691867</v>
      </c>
      <c r="AD13" s="1" t="s">
        <v>1562</v>
      </c>
      <c r="AE13" s="1"/>
      <c r="AF13" s="1"/>
    </row>
    <row r="14" spans="1:32" x14ac:dyDescent="0.3">
      <c r="A14" s="21" t="s">
        <v>30</v>
      </c>
      <c r="B14" s="33">
        <v>45199</v>
      </c>
      <c r="C14" s="21">
        <v>7561.6438356164399</v>
      </c>
      <c r="D14" s="2"/>
      <c r="E14" s="1"/>
      <c r="F14" s="1"/>
      <c r="G14" s="1"/>
      <c r="H14" s="1"/>
      <c r="N14" s="21" t="s">
        <v>30</v>
      </c>
      <c r="O14" s="33">
        <v>45239</v>
      </c>
      <c r="P14" s="21">
        <f>-'půjčka výpočet'!F18</f>
        <v>1350000</v>
      </c>
      <c r="Q14" s="2"/>
      <c r="R14" s="1"/>
      <c r="S14" s="1"/>
      <c r="T14" s="1"/>
      <c r="U14" s="1"/>
      <c r="Y14" s="21" t="s">
        <v>30</v>
      </c>
      <c r="Z14" s="33">
        <v>45239</v>
      </c>
      <c r="AA14" s="21">
        <f>-'půjčka výpočet'!$F$18</f>
        <v>1350000</v>
      </c>
      <c r="AB14" s="2"/>
      <c r="AC14" s="382">
        <f>AA13-AC13</f>
        <v>-2889.4956703484058</v>
      </c>
      <c r="AD14" s="1" t="s">
        <v>1595</v>
      </c>
      <c r="AE14" s="1"/>
      <c r="AF14" s="1"/>
    </row>
    <row r="15" spans="1:32" x14ac:dyDescent="0.3">
      <c r="A15" s="21" t="s">
        <v>30</v>
      </c>
      <c r="B15" s="33">
        <v>45291</v>
      </c>
      <c r="C15" s="21">
        <v>7561.6438356164399</v>
      </c>
      <c r="D15" s="2"/>
      <c r="E15" s="1"/>
      <c r="F15" s="1"/>
      <c r="G15" s="1"/>
      <c r="H15" s="1"/>
      <c r="N15" s="21" t="s">
        <v>30</v>
      </c>
      <c r="O15" s="33">
        <v>45291</v>
      </c>
      <c r="P15" s="21">
        <v>165000</v>
      </c>
      <c r="Q15" s="2"/>
      <c r="R15" s="1"/>
      <c r="S15" s="1"/>
      <c r="T15" s="1"/>
      <c r="U15" s="1"/>
      <c r="Y15" s="21" t="s">
        <v>30</v>
      </c>
      <c r="Z15" s="33">
        <v>45291</v>
      </c>
      <c r="AA15" s="21">
        <f>-'půjčka výpočet'!$F$19</f>
        <v>127500</v>
      </c>
      <c r="AB15" s="2"/>
      <c r="AC15" s="1"/>
      <c r="AD15" s="1"/>
      <c r="AE15" s="1"/>
      <c r="AF15" s="1"/>
    </row>
    <row r="16" spans="1:32" x14ac:dyDescent="0.3">
      <c r="A16" s="21" t="s">
        <v>30</v>
      </c>
      <c r="B16" s="33">
        <v>45382</v>
      </c>
      <c r="C16" s="21">
        <v>7479.4520547945203</v>
      </c>
      <c r="D16" s="2"/>
      <c r="E16" s="1"/>
      <c r="F16" s="1"/>
      <c r="G16" s="1"/>
      <c r="H16" s="1"/>
      <c r="N16" s="21" t="s">
        <v>30</v>
      </c>
      <c r="O16" s="33">
        <v>45382</v>
      </c>
      <c r="P16" s="21">
        <f>-'půjčka výpočet'!F20</f>
        <v>0</v>
      </c>
      <c r="Q16" s="2"/>
      <c r="R16" s="1"/>
      <c r="S16" s="1"/>
      <c r="T16" s="1"/>
      <c r="U16" s="1"/>
      <c r="Y16" s="21" t="s">
        <v>30</v>
      </c>
      <c r="Z16" s="33">
        <v>45382</v>
      </c>
      <c r="AA16" s="21">
        <f>-'půjčka výpočet'!R20</f>
        <v>0</v>
      </c>
      <c r="AB16" s="2"/>
      <c r="AC16" s="1"/>
      <c r="AD16" s="1"/>
      <c r="AE16" s="1"/>
      <c r="AF16" s="1"/>
    </row>
    <row r="17" spans="1:32" x14ac:dyDescent="0.3">
      <c r="A17" s="21" t="s">
        <v>30</v>
      </c>
      <c r="B17" s="33">
        <v>45473</v>
      </c>
      <c r="C17" s="21">
        <v>7479.4520547945203</v>
      </c>
      <c r="D17" s="2"/>
      <c r="E17" s="1"/>
      <c r="F17" s="1"/>
      <c r="G17" s="1"/>
      <c r="H17" s="1"/>
      <c r="N17" s="21" t="s">
        <v>30</v>
      </c>
      <c r="O17" s="33">
        <v>45473</v>
      </c>
      <c r="P17" s="21">
        <f>-'půjčka výpočet'!F21</f>
        <v>0</v>
      </c>
      <c r="Q17" s="2"/>
      <c r="R17" s="1" t="s">
        <v>1429</v>
      </c>
      <c r="S17" s="1"/>
      <c r="T17" s="1"/>
      <c r="U17" s="1"/>
      <c r="Y17" s="21" t="s">
        <v>30</v>
      </c>
      <c r="Z17" s="33">
        <v>45473</v>
      </c>
      <c r="AA17" s="21">
        <f>-'půjčka výpočet'!R21</f>
        <v>0</v>
      </c>
      <c r="AB17" s="2"/>
      <c r="AC17" s="1" t="s">
        <v>1478</v>
      </c>
      <c r="AD17" s="1"/>
      <c r="AE17" s="1"/>
      <c r="AF17" s="1"/>
    </row>
    <row r="18" spans="1:32" x14ac:dyDescent="0.3">
      <c r="A18" s="21" t="s">
        <v>30</v>
      </c>
      <c r="B18" s="33">
        <v>45565</v>
      </c>
      <c r="C18" s="21">
        <v>7561.6438356164399</v>
      </c>
      <c r="D18" s="2"/>
      <c r="E18" s="1"/>
      <c r="F18" s="1"/>
      <c r="G18" s="1"/>
      <c r="H18" s="1"/>
      <c r="N18" s="21" t="s">
        <v>30</v>
      </c>
      <c r="O18" s="33">
        <v>45605</v>
      </c>
      <c r="P18" s="21">
        <f>-'půjčka výpočet'!F23</f>
        <v>1350000</v>
      </c>
      <c r="Q18" s="2"/>
      <c r="R18" s="1"/>
      <c r="S18" s="1"/>
      <c r="T18" s="1"/>
      <c r="U18" s="1"/>
      <c r="Y18" s="21" t="s">
        <v>30</v>
      </c>
      <c r="Z18" s="33">
        <v>45605</v>
      </c>
      <c r="AA18" s="21">
        <f>-'půjčka výpočet'!$F$23</f>
        <v>1350000</v>
      </c>
      <c r="AB18" s="2"/>
      <c r="AC18" s="1"/>
      <c r="AD18" s="1"/>
      <c r="AE18" s="1"/>
      <c r="AF18" s="1"/>
    </row>
    <row r="19" spans="1:32" x14ac:dyDescent="0.3">
      <c r="A19" s="21" t="s">
        <v>30</v>
      </c>
      <c r="B19" s="33">
        <v>45657</v>
      </c>
      <c r="C19" s="21">
        <v>7561.6438356164399</v>
      </c>
      <c r="D19" s="2"/>
      <c r="E19" s="1"/>
      <c r="F19" s="1"/>
      <c r="G19" s="1"/>
      <c r="H19" s="1"/>
      <c r="N19" s="21" t="s">
        <v>30</v>
      </c>
      <c r="O19" s="33">
        <v>45657</v>
      </c>
      <c r="P19" s="21">
        <v>165000</v>
      </c>
      <c r="Q19" s="2"/>
      <c r="R19" s="1"/>
      <c r="S19" s="1"/>
      <c r="T19" s="1"/>
      <c r="U19" s="1"/>
      <c r="Y19" s="21" t="s">
        <v>30</v>
      </c>
      <c r="Z19" s="33">
        <v>45657</v>
      </c>
      <c r="AA19" s="21">
        <v>90000</v>
      </c>
      <c r="AB19" s="2"/>
      <c r="AC19" s="1"/>
      <c r="AD19" s="1"/>
      <c r="AE19" s="1"/>
      <c r="AF19" s="1"/>
    </row>
    <row r="20" spans="1:32" x14ac:dyDescent="0.3">
      <c r="A20" s="21" t="s">
        <v>30</v>
      </c>
      <c r="B20" s="33">
        <v>45747</v>
      </c>
      <c r="C20" s="21">
        <v>7397.2602739725999</v>
      </c>
      <c r="D20" s="2"/>
      <c r="E20" s="1"/>
      <c r="F20" s="1"/>
      <c r="G20" s="1"/>
      <c r="H20" s="1"/>
      <c r="N20" s="21" t="s">
        <v>30</v>
      </c>
      <c r="O20" s="33">
        <v>45747</v>
      </c>
      <c r="P20" s="21">
        <f>-'půjčka výpočet'!F25</f>
        <v>0</v>
      </c>
      <c r="Q20" s="2"/>
      <c r="R20" s="1"/>
      <c r="S20" s="1"/>
      <c r="T20" s="1"/>
      <c r="U20" s="1"/>
      <c r="Y20" s="21" t="s">
        <v>30</v>
      </c>
      <c r="Z20" s="33">
        <v>45747</v>
      </c>
      <c r="AA20" s="21">
        <f>-'půjčka výpočet'!R25</f>
        <v>0</v>
      </c>
      <c r="AB20" s="2"/>
      <c r="AC20" s="1"/>
      <c r="AD20" s="1"/>
      <c r="AE20" s="1"/>
      <c r="AF20" s="1"/>
    </row>
    <row r="21" spans="1:32" x14ac:dyDescent="0.3">
      <c r="A21" s="21" t="s">
        <v>30</v>
      </c>
      <c r="B21" s="33">
        <v>45838</v>
      </c>
      <c r="C21" s="21">
        <v>7479.4520547945203</v>
      </c>
      <c r="D21" s="2"/>
      <c r="E21" s="1"/>
      <c r="F21" s="1"/>
      <c r="G21" s="1"/>
      <c r="H21" s="1"/>
      <c r="N21" s="21" t="s">
        <v>30</v>
      </c>
      <c r="O21" s="33">
        <v>45838</v>
      </c>
      <c r="P21" s="21">
        <f>-'půjčka výpočet'!F26</f>
        <v>0</v>
      </c>
      <c r="Q21" s="2"/>
      <c r="R21" s="1"/>
      <c r="S21" s="1"/>
      <c r="T21" s="1"/>
      <c r="U21" s="1"/>
      <c r="Y21" s="21" t="s">
        <v>30</v>
      </c>
      <c r="Z21" s="33">
        <v>45838</v>
      </c>
      <c r="AA21" s="21">
        <f>-'půjčka výpočet'!R26</f>
        <v>0</v>
      </c>
      <c r="AB21" s="2"/>
      <c r="AC21" s="1"/>
      <c r="AD21" s="1"/>
      <c r="AE21" s="1"/>
      <c r="AF21" s="1"/>
    </row>
    <row r="22" spans="1:32" x14ac:dyDescent="0.3">
      <c r="A22" s="21" t="s">
        <v>30</v>
      </c>
      <c r="B22" s="33">
        <v>45930</v>
      </c>
      <c r="C22" s="21">
        <v>7561.6438356164399</v>
      </c>
      <c r="D22" s="2"/>
      <c r="E22" s="1"/>
      <c r="F22" s="1"/>
      <c r="G22" s="1"/>
      <c r="H22" s="1"/>
      <c r="N22" s="21" t="s">
        <v>30</v>
      </c>
      <c r="O22" s="33">
        <v>45970</v>
      </c>
      <c r="P22" s="21">
        <f>-'půjčka výpočet'!F28</f>
        <v>1350000</v>
      </c>
      <c r="Q22" s="2"/>
      <c r="R22" s="1"/>
      <c r="S22" s="1"/>
      <c r="T22" s="1"/>
      <c r="U22" s="1"/>
      <c r="Y22" s="21" t="s">
        <v>30</v>
      </c>
      <c r="Z22" s="33">
        <v>45970</v>
      </c>
      <c r="AA22" s="21">
        <v>1350000</v>
      </c>
      <c r="AB22" s="2"/>
      <c r="AC22" s="1"/>
      <c r="AD22" s="1"/>
      <c r="AE22" s="1"/>
      <c r="AF22" s="1"/>
    </row>
    <row r="23" spans="1:32" x14ac:dyDescent="0.3">
      <c r="A23" s="21" t="s">
        <v>30</v>
      </c>
      <c r="B23" s="33">
        <v>46022</v>
      </c>
      <c r="C23" s="21">
        <v>7561.6438356164399</v>
      </c>
      <c r="D23" s="2"/>
      <c r="E23" s="1"/>
      <c r="F23" s="1"/>
      <c r="G23" s="1"/>
      <c r="H23" s="1"/>
      <c r="N23" s="21" t="s">
        <v>30</v>
      </c>
      <c r="O23" s="33">
        <v>46022</v>
      </c>
      <c r="P23" s="21">
        <v>165000</v>
      </c>
      <c r="Q23" s="2"/>
      <c r="R23" s="1"/>
      <c r="S23" s="1"/>
      <c r="T23" s="1"/>
      <c r="U23" s="1"/>
      <c r="Y23" s="21" t="s">
        <v>30</v>
      </c>
      <c r="Z23" s="33">
        <v>46022</v>
      </c>
      <c r="AA23" s="21">
        <v>90000</v>
      </c>
      <c r="AB23" s="2"/>
      <c r="AC23" s="1"/>
      <c r="AD23" s="1"/>
      <c r="AE23" s="1"/>
      <c r="AF23" s="1"/>
    </row>
    <row r="24" spans="1:32" x14ac:dyDescent="0.3">
      <c r="A24" s="21" t="s">
        <v>30</v>
      </c>
      <c r="B24" s="33">
        <v>46112</v>
      </c>
      <c r="C24" s="21">
        <v>7397.2602739725999</v>
      </c>
      <c r="D24" s="2"/>
      <c r="E24" s="1"/>
      <c r="F24" s="1"/>
      <c r="G24" s="1"/>
      <c r="H24" s="1"/>
      <c r="N24" s="21" t="s">
        <v>30</v>
      </c>
      <c r="O24" s="33">
        <v>46112</v>
      </c>
      <c r="P24" s="21">
        <f>-'půjčka výpočet'!F30</f>
        <v>0</v>
      </c>
      <c r="Q24" s="2"/>
      <c r="R24" s="1"/>
      <c r="S24" s="1"/>
      <c r="T24" s="1"/>
      <c r="U24" s="1"/>
      <c r="Y24" s="21" t="s">
        <v>30</v>
      </c>
      <c r="Z24" s="33">
        <v>46112</v>
      </c>
      <c r="AA24" s="21">
        <f>-'půjčka výpočet'!R30</f>
        <v>0</v>
      </c>
      <c r="AB24" s="2"/>
      <c r="AC24" s="1"/>
      <c r="AD24" s="1"/>
      <c r="AE24" s="1"/>
      <c r="AF24" s="1"/>
    </row>
    <row r="25" spans="1:32" x14ac:dyDescent="0.3">
      <c r="A25" s="21" t="s">
        <v>30</v>
      </c>
      <c r="B25" s="33">
        <v>46203</v>
      </c>
      <c r="C25" s="21">
        <v>7479.4520547945203</v>
      </c>
      <c r="D25" s="2"/>
      <c r="E25" s="1"/>
      <c r="F25" s="1"/>
      <c r="G25" s="1"/>
      <c r="H25" s="1"/>
      <c r="N25" s="21" t="s">
        <v>30</v>
      </c>
      <c r="O25" s="33">
        <v>46203</v>
      </c>
      <c r="P25" s="21">
        <f>-'půjčka výpočet'!F31</f>
        <v>0</v>
      </c>
      <c r="Q25" s="2"/>
      <c r="R25" s="1"/>
      <c r="S25" s="1"/>
      <c r="T25" s="1"/>
      <c r="U25" s="1"/>
      <c r="Y25" s="21" t="s">
        <v>30</v>
      </c>
      <c r="Z25" s="33">
        <v>46203</v>
      </c>
      <c r="AA25" s="21">
        <f>-'půjčka výpočet'!R31</f>
        <v>0</v>
      </c>
      <c r="AB25" s="2"/>
      <c r="AC25" s="1"/>
      <c r="AD25" s="1"/>
      <c r="AE25" s="1"/>
      <c r="AF25" s="1"/>
    </row>
    <row r="26" spans="1:32" x14ac:dyDescent="0.3">
      <c r="A26" s="21" t="s">
        <v>30</v>
      </c>
      <c r="B26" s="33">
        <v>46295</v>
      </c>
      <c r="C26" s="21">
        <v>7561.6438356164399</v>
      </c>
      <c r="D26" s="2"/>
      <c r="E26" s="1"/>
      <c r="F26" s="1"/>
      <c r="G26" s="1"/>
      <c r="H26" s="1"/>
      <c r="N26" s="21" t="s">
        <v>30</v>
      </c>
      <c r="O26" s="33">
        <v>46295</v>
      </c>
      <c r="P26" s="21">
        <f>-'půjčka výpočet'!F32</f>
        <v>0</v>
      </c>
      <c r="Q26" s="2"/>
      <c r="R26" s="1"/>
      <c r="S26" s="1"/>
      <c r="T26" s="1"/>
      <c r="U26" s="1"/>
      <c r="Y26" s="21" t="s">
        <v>30</v>
      </c>
      <c r="Z26" s="33">
        <v>46295</v>
      </c>
      <c r="AA26" s="21">
        <f>-'půjčka výpočet'!R32</f>
        <v>0</v>
      </c>
      <c r="AB26" s="2"/>
      <c r="AC26" s="1"/>
      <c r="AD26" s="1"/>
      <c r="AE26" s="1"/>
      <c r="AF26" s="1"/>
    </row>
    <row r="27" spans="1:32" x14ac:dyDescent="0.3">
      <c r="A27" s="21" t="s">
        <v>30</v>
      </c>
      <c r="B27" s="33">
        <v>46340</v>
      </c>
      <c r="C27" s="21">
        <v>3698.6301369862999</v>
      </c>
      <c r="D27" s="2"/>
      <c r="E27" s="1"/>
      <c r="F27" s="1"/>
      <c r="G27" s="1"/>
      <c r="H27" s="1"/>
      <c r="N27" s="21" t="s">
        <v>30</v>
      </c>
      <c r="O27" s="33">
        <v>46340</v>
      </c>
      <c r="P27" s="21">
        <v>1324068.49</v>
      </c>
      <c r="Q27" s="2"/>
      <c r="R27" s="1"/>
      <c r="S27" s="1"/>
      <c r="T27" s="1"/>
      <c r="U27" s="1"/>
      <c r="Y27" s="21" t="s">
        <v>30</v>
      </c>
      <c r="Z27" s="33">
        <v>46340</v>
      </c>
      <c r="AA27" s="21">
        <f>-'půjčka výpočet'!$F$33</f>
        <v>1254575.3400000001</v>
      </c>
      <c r="AB27" s="2"/>
      <c r="AC27" s="1"/>
      <c r="AD27" s="1"/>
      <c r="AE27" s="1"/>
      <c r="AF27" s="1"/>
    </row>
    <row r="28" spans="1:32" x14ac:dyDescent="0.3">
      <c r="A28" s="21" t="s">
        <v>28</v>
      </c>
      <c r="B28" s="33">
        <v>46340</v>
      </c>
      <c r="C28" s="21">
        <v>30000000</v>
      </c>
      <c r="D28" s="2"/>
      <c r="E28" s="1"/>
      <c r="F28" s="1"/>
      <c r="G28" s="1"/>
      <c r="H28" s="1"/>
      <c r="N28" s="21" t="s">
        <v>28</v>
      </c>
      <c r="O28" s="33">
        <v>46340</v>
      </c>
      <c r="P28" s="21">
        <v>30000000</v>
      </c>
      <c r="Q28" s="2"/>
      <c r="R28" s="1"/>
      <c r="S28" s="1"/>
      <c r="T28" s="1"/>
      <c r="U28" s="1"/>
      <c r="Y28" s="21" t="s">
        <v>28</v>
      </c>
      <c r="Z28" s="33">
        <v>46340</v>
      </c>
      <c r="AA28" s="21">
        <v>30000000</v>
      </c>
      <c r="AB28" s="2"/>
      <c r="AC28" s="1"/>
      <c r="AD28" s="1"/>
      <c r="AE28" s="1"/>
      <c r="AF28" s="1"/>
    </row>
    <row r="29" spans="1:32" x14ac:dyDescent="0.3">
      <c r="A29" s="28" t="s">
        <v>29</v>
      </c>
      <c r="B29" s="34">
        <f>XIRR(C2:C28,B2:B28)</f>
        <v>2.8098434209823612E-3</v>
      </c>
      <c r="C29" s="28">
        <f>SUM(C2:C28)</f>
        <v>418817.80821917579</v>
      </c>
      <c r="D29" s="1"/>
      <c r="E29" s="1"/>
      <c r="F29" s="1"/>
      <c r="G29" s="1"/>
      <c r="H29" s="1"/>
      <c r="N29" s="28" t="s">
        <v>29</v>
      </c>
      <c r="O29" s="34">
        <f>XIRR(P2:P28,O2:O28)</f>
        <v>5.2883568406105044E-2</v>
      </c>
      <c r="P29" s="28">
        <f>SUM(P2:P28)</f>
        <v>7646380.3641926646</v>
      </c>
      <c r="Q29" s="1"/>
      <c r="R29" s="1"/>
      <c r="S29" s="106">
        <f>S2-O29</f>
        <v>-2.3835684061050411E-3</v>
      </c>
      <c r="T29" s="1"/>
      <c r="U29" s="1"/>
      <c r="Y29" s="28" t="s">
        <v>29</v>
      </c>
      <c r="Z29" s="34">
        <f>XIRR(AA13:AA28,Z13:Z28)</f>
        <v>5.035829842090607E-2</v>
      </c>
      <c r="AA29" s="28">
        <f>SUM(AA13:AA28)</f>
        <v>5054922.6826377846</v>
      </c>
      <c r="AB29" s="1"/>
      <c r="AC29" s="440"/>
      <c r="AD29" s="441"/>
      <c r="AE29" s="440"/>
      <c r="AF29" s="1"/>
    </row>
    <row r="30" spans="1:32" ht="15" thickBot="1" x14ac:dyDescent="0.35">
      <c r="A30" s="1"/>
      <c r="B30" s="2"/>
      <c r="C30" s="2"/>
      <c r="D30" s="3" t="s">
        <v>38</v>
      </c>
      <c r="E30" s="3" t="s">
        <v>39</v>
      </c>
      <c r="F30" s="2"/>
      <c r="G30" s="2"/>
      <c r="H30" s="2"/>
      <c r="N30" s="1"/>
      <c r="O30" s="2"/>
      <c r="P30" s="2"/>
      <c r="Q30" s="3" t="s">
        <v>38</v>
      </c>
      <c r="R30" s="3" t="s">
        <v>39</v>
      </c>
      <c r="S30" s="2"/>
      <c r="T30" s="2"/>
      <c r="U30" s="2"/>
      <c r="Y30" s="1"/>
      <c r="Z30" s="2"/>
      <c r="AA30" s="2"/>
      <c r="AB30" s="3" t="s">
        <v>38</v>
      </c>
      <c r="AC30" s="3" t="s">
        <v>39</v>
      </c>
      <c r="AD30" s="2"/>
      <c r="AE30" s="2"/>
      <c r="AF30" s="2"/>
    </row>
    <row r="31" spans="1:32" ht="27.6" x14ac:dyDescent="0.3">
      <c r="A31" s="39" t="s">
        <v>25</v>
      </c>
      <c r="B31" s="40" t="s">
        <v>26</v>
      </c>
      <c r="C31" s="40" t="s">
        <v>31</v>
      </c>
      <c r="D31" s="41" t="s">
        <v>22</v>
      </c>
      <c r="E31" s="41" t="s">
        <v>890</v>
      </c>
      <c r="F31" s="42" t="s">
        <v>34</v>
      </c>
      <c r="G31" s="43" t="s">
        <v>651</v>
      </c>
      <c r="H31" s="2" t="s">
        <v>652</v>
      </c>
      <c r="J31" s="65"/>
      <c r="N31" s="39" t="s">
        <v>25</v>
      </c>
      <c r="O31" s="40" t="s">
        <v>26</v>
      </c>
      <c r="P31" s="40" t="s">
        <v>31</v>
      </c>
      <c r="Q31" s="41" t="s">
        <v>22</v>
      </c>
      <c r="R31" s="41" t="s">
        <v>890</v>
      </c>
      <c r="S31" s="42" t="s">
        <v>34</v>
      </c>
      <c r="T31" s="43" t="s">
        <v>651</v>
      </c>
      <c r="U31" s="2" t="s">
        <v>652</v>
      </c>
      <c r="Y31" s="39" t="s">
        <v>25</v>
      </c>
      <c r="Z31" s="40" t="s">
        <v>26</v>
      </c>
      <c r="AA31" s="40" t="s">
        <v>31</v>
      </c>
      <c r="AB31" s="41" t="s">
        <v>22</v>
      </c>
      <c r="AC31" s="41" t="s">
        <v>890</v>
      </c>
      <c r="AD31" s="42" t="s">
        <v>34</v>
      </c>
      <c r="AE31" s="43" t="s">
        <v>651</v>
      </c>
      <c r="AF31" s="2" t="s">
        <v>652</v>
      </c>
    </row>
    <row r="32" spans="1:32" x14ac:dyDescent="0.3">
      <c r="A32" s="44" t="s">
        <v>32</v>
      </c>
      <c r="B32" s="37">
        <v>44516</v>
      </c>
      <c r="C32" s="36"/>
      <c r="D32" s="28"/>
      <c r="E32" s="22">
        <v>0</v>
      </c>
      <c r="G32" s="45">
        <f>C2+C3</f>
        <v>-29731100</v>
      </c>
      <c r="H32" s="32">
        <f>C2</f>
        <v>-30000000</v>
      </c>
      <c r="J32" s="65"/>
      <c r="N32" s="44" t="s">
        <v>32</v>
      </c>
      <c r="O32" s="37">
        <v>44516</v>
      </c>
      <c r="P32" s="36"/>
      <c r="Q32" s="28"/>
      <c r="R32" s="22">
        <v>0</v>
      </c>
      <c r="T32" s="45"/>
      <c r="U32" s="32">
        <v>-30000000</v>
      </c>
      <c r="Y32" s="44" t="s">
        <v>32</v>
      </c>
      <c r="Z32" s="37">
        <v>44516</v>
      </c>
      <c r="AA32" s="36"/>
      <c r="AB32" s="28"/>
      <c r="AC32" s="22">
        <v>0</v>
      </c>
      <c r="AE32" s="45">
        <f>AA2+AA3</f>
        <v>-29731100</v>
      </c>
      <c r="AF32" s="32">
        <f>AA2</f>
        <v>-30000000</v>
      </c>
    </row>
    <row r="33" spans="1:35" x14ac:dyDescent="0.3">
      <c r="A33" s="44"/>
      <c r="B33" s="37">
        <v>44516</v>
      </c>
      <c r="C33" s="36"/>
      <c r="D33" s="28"/>
      <c r="E33" s="22"/>
      <c r="F33" s="21"/>
      <c r="G33" s="45">
        <f>G32+E33+F33</f>
        <v>-29731100</v>
      </c>
      <c r="H33" s="1"/>
      <c r="J33" s="65"/>
      <c r="N33" s="44"/>
      <c r="O33" s="37">
        <v>44516</v>
      </c>
      <c r="P33" s="36"/>
      <c r="Q33" s="28"/>
      <c r="R33" s="22"/>
      <c r="S33" s="21"/>
      <c r="T33" s="45"/>
      <c r="U33" s="1"/>
      <c r="Y33" s="44"/>
      <c r="Z33" s="37">
        <v>44516</v>
      </c>
      <c r="AA33" s="36"/>
      <c r="AB33" s="28"/>
      <c r="AC33" s="22"/>
      <c r="AD33" s="21"/>
      <c r="AE33" s="45">
        <f>AE32+AC33+AD33</f>
        <v>-29731100</v>
      </c>
      <c r="AF33" s="1"/>
    </row>
    <row r="34" spans="1:35" x14ac:dyDescent="0.3">
      <c r="A34" s="46" t="s">
        <v>35</v>
      </c>
      <c r="B34" s="30">
        <v>44530</v>
      </c>
      <c r="C34" s="22">
        <f>B34-B32</f>
        <v>14</v>
      </c>
      <c r="D34" s="21">
        <f t="shared" ref="D34:D94" si="0">-$H$32*$F$2/365*C34</f>
        <v>1150.6849315068494</v>
      </c>
      <c r="E34" s="35">
        <v>3199.9427033104002</v>
      </c>
      <c r="F34" s="21">
        <f t="shared" ref="F34:F93" si="1">SUMIF($B$2:$B$28,B34,$C$2:$C$28)</f>
        <v>0</v>
      </c>
      <c r="G34" s="45">
        <f>G33-E34+F34</f>
        <v>-29734299.94270331</v>
      </c>
      <c r="H34" s="1">
        <f>H32-D34+F34</f>
        <v>-30001150.684931505</v>
      </c>
      <c r="J34" s="493" t="s">
        <v>1285</v>
      </c>
      <c r="K34" s="493"/>
      <c r="N34" s="46" t="s">
        <v>35</v>
      </c>
      <c r="O34" s="30">
        <v>44530</v>
      </c>
      <c r="P34" s="22">
        <f>O34-O32</f>
        <v>14</v>
      </c>
      <c r="Q34" s="21">
        <f t="shared" ref="Q34:Q35" si="2">-$H$32*$F$2/365*P34</f>
        <v>1150.6849315068494</v>
      </c>
      <c r="R34" s="35">
        <v>3199.9427033104002</v>
      </c>
      <c r="S34" s="21"/>
      <c r="T34" s="45"/>
      <c r="U34" s="1">
        <f>U32-Q34-S34</f>
        <v>-30001150.684931505</v>
      </c>
      <c r="Y34" s="46" t="s">
        <v>35</v>
      </c>
      <c r="Z34" s="30">
        <v>44530</v>
      </c>
      <c r="AA34" s="22">
        <f>Z34-Z32</f>
        <v>14</v>
      </c>
      <c r="AB34" s="21">
        <f t="shared" ref="AB34:AB35" si="3">-$H$32*$F$2/365*AA34</f>
        <v>1150.6849315068494</v>
      </c>
      <c r="AC34" s="35">
        <v>3199.9427033104002</v>
      </c>
      <c r="AD34" s="21"/>
      <c r="AE34" s="45">
        <f>AE33-AC34+AD34</f>
        <v>-29734299.94270331</v>
      </c>
      <c r="AF34" s="1">
        <f>AF32-AB34-AD34</f>
        <v>-30001150.684931505</v>
      </c>
    </row>
    <row r="35" spans="1:35" x14ac:dyDescent="0.3">
      <c r="A35" s="53" t="s">
        <v>35</v>
      </c>
      <c r="B35" s="54">
        <v>44561</v>
      </c>
      <c r="C35" s="55">
        <f t="shared" ref="C35:C95" si="4">B35-B34</f>
        <v>31</v>
      </c>
      <c r="D35" s="21">
        <f t="shared" si="0"/>
        <v>2547.9452054794519</v>
      </c>
      <c r="E35" s="35">
        <v>7086.8131040222943</v>
      </c>
      <c r="F35" s="56">
        <f t="shared" si="1"/>
        <v>0</v>
      </c>
      <c r="G35" s="45">
        <f t="shared" ref="G35:G93" si="5">G34-E35+F35</f>
        <v>-29741386.755807333</v>
      </c>
      <c r="H35" s="11">
        <f>H34-D35+F35</f>
        <v>-30003698.630136985</v>
      </c>
      <c r="I35" s="58"/>
      <c r="J35" s="383">
        <f>-SUM(E34:E35)+SUM(D34:D35)</f>
        <v>-6588.1256703463932</v>
      </c>
      <c r="K35" s="384" t="s">
        <v>1286</v>
      </c>
      <c r="N35" s="53" t="s">
        <v>35</v>
      </c>
      <c r="O35" s="54">
        <v>44561</v>
      </c>
      <c r="P35" s="22">
        <f t="shared" ref="P35:P95" si="6">O35-O34</f>
        <v>31</v>
      </c>
      <c r="Q35" s="21">
        <f t="shared" si="2"/>
        <v>2547.9452054794519</v>
      </c>
      <c r="R35" s="35">
        <v>7086.8131040222943</v>
      </c>
      <c r="S35" s="56"/>
      <c r="T35" s="45">
        <f>P2</f>
        <v>-29741386.755807333</v>
      </c>
      <c r="U35" s="11">
        <f>U34-Q35-S35</f>
        <v>-30003698.630136985</v>
      </c>
      <c r="Y35" s="53" t="s">
        <v>35</v>
      </c>
      <c r="Z35" s="54">
        <v>44561</v>
      </c>
      <c r="AA35" s="22">
        <f t="shared" ref="AA35:AA60" si="7">Z35-Z34</f>
        <v>31</v>
      </c>
      <c r="AB35" s="21">
        <f t="shared" si="3"/>
        <v>2547.9452054794519</v>
      </c>
      <c r="AC35" s="35">
        <v>7086.8131040222943</v>
      </c>
      <c r="AD35" s="56"/>
      <c r="AE35" s="45">
        <f>AE34-AC35+AD35</f>
        <v>-29741386.755807333</v>
      </c>
      <c r="AF35" s="11">
        <f>AF34-AB35-AD35</f>
        <v>-30003698.630136985</v>
      </c>
    </row>
    <row r="36" spans="1:35" x14ac:dyDescent="0.3">
      <c r="A36" s="46" t="s">
        <v>35</v>
      </c>
      <c r="B36" s="30">
        <v>44592</v>
      </c>
      <c r="C36" s="22">
        <f t="shared" si="4"/>
        <v>31</v>
      </c>
      <c r="D36" s="21">
        <f t="shared" si="0"/>
        <v>2547.9452054794519</v>
      </c>
      <c r="E36" s="35">
        <v>7088.5021607726812</v>
      </c>
      <c r="F36" s="21">
        <f t="shared" si="1"/>
        <v>0</v>
      </c>
      <c r="G36" s="45">
        <f t="shared" si="5"/>
        <v>-29748475.257968105</v>
      </c>
      <c r="H36" s="1">
        <f t="shared" ref="H36:H95" si="8">H35-D36+F36</f>
        <v>-30006246.575342465</v>
      </c>
      <c r="J36" s="38"/>
      <c r="K36" t="s">
        <v>1430</v>
      </c>
      <c r="N36" s="46" t="s">
        <v>35</v>
      </c>
      <c r="O36" s="30">
        <v>44592</v>
      </c>
      <c r="P36" s="22">
        <f t="shared" si="6"/>
        <v>31</v>
      </c>
      <c r="Q36" s="21">
        <v>128671.23287671233</v>
      </c>
      <c r="R36" s="35">
        <v>130483.3531748876</v>
      </c>
      <c r="S36" s="21"/>
      <c r="T36" s="45">
        <f t="shared" ref="T36:T94" si="9">T35-R36-S36</f>
        <v>-29871870.10898222</v>
      </c>
      <c r="U36" s="1">
        <f>U35-Q36-S36</f>
        <v>-30132369.863013696</v>
      </c>
      <c r="Y36" s="46" t="s">
        <v>35</v>
      </c>
      <c r="Z36" s="30">
        <v>44592</v>
      </c>
      <c r="AA36" s="22">
        <f t="shared" si="7"/>
        <v>31</v>
      </c>
      <c r="AB36" s="21">
        <v>128671.23287671233</v>
      </c>
      <c r="AC36" s="35">
        <v>130483.3531748876</v>
      </c>
      <c r="AD36" s="21">
        <f>-SUMIF($Z$2:$Z$28,Z36,$AA$2:$AA$28)</f>
        <v>0</v>
      </c>
      <c r="AE36" s="45">
        <f t="shared" ref="AE36:AE46" si="10">AE35-AC36-AD36</f>
        <v>-29871870.10898222</v>
      </c>
      <c r="AF36" s="1">
        <f>AF35-AB36-AD36</f>
        <v>-30132369.863013696</v>
      </c>
    </row>
    <row r="37" spans="1:35" x14ac:dyDescent="0.3">
      <c r="A37" s="46" t="s">
        <v>35</v>
      </c>
      <c r="B37" s="30">
        <v>44620</v>
      </c>
      <c r="C37" s="22">
        <f t="shared" si="4"/>
        <v>28</v>
      </c>
      <c r="D37" s="21">
        <f t="shared" si="0"/>
        <v>2301.3698630136987</v>
      </c>
      <c r="E37" s="35">
        <v>6403.9701958559453</v>
      </c>
      <c r="F37" s="21">
        <f t="shared" si="1"/>
        <v>3698.6301369862999</v>
      </c>
      <c r="G37" s="45">
        <f t="shared" si="5"/>
        <v>-29751180.598026976</v>
      </c>
      <c r="H37" s="1">
        <f t="shared" si="8"/>
        <v>-30004849.315068495</v>
      </c>
      <c r="J37" s="38"/>
      <c r="N37" s="46" t="s">
        <v>35</v>
      </c>
      <c r="O37" s="30">
        <v>44620</v>
      </c>
      <c r="P37" s="22">
        <f t="shared" si="6"/>
        <v>28</v>
      </c>
      <c r="Q37" s="21">
        <v>116219.17808219178</v>
      </c>
      <c r="R37" s="35">
        <v>118348.01728630438</v>
      </c>
      <c r="S37" s="21">
        <f>-P6</f>
        <v>-3698.63</v>
      </c>
      <c r="T37" s="45">
        <f t="shared" si="9"/>
        <v>-29986519.496268526</v>
      </c>
      <c r="U37" s="1">
        <f t="shared" ref="U37:U94" si="11">U36-Q37-S37</f>
        <v>-30244890.411095887</v>
      </c>
      <c r="Y37" s="46" t="s">
        <v>35</v>
      </c>
      <c r="Z37" s="30">
        <v>44620</v>
      </c>
      <c r="AA37" s="22">
        <f t="shared" si="7"/>
        <v>28</v>
      </c>
      <c r="AB37" s="21">
        <v>116219.17808219178</v>
      </c>
      <c r="AC37" s="35">
        <v>118348.01728630438</v>
      </c>
      <c r="AD37" s="21">
        <f>S37</f>
        <v>-3698.63</v>
      </c>
      <c r="AE37" s="45">
        <f t="shared" si="10"/>
        <v>-29986519.496268526</v>
      </c>
      <c r="AF37" s="1">
        <f t="shared" ref="AF37:AF94" si="12">AF36-AB37-AD37</f>
        <v>-30244890.411095887</v>
      </c>
    </row>
    <row r="38" spans="1:35" x14ac:dyDescent="0.3">
      <c r="A38" s="46" t="s">
        <v>35</v>
      </c>
      <c r="B38" s="30">
        <v>44651</v>
      </c>
      <c r="C38" s="22">
        <f t="shared" si="4"/>
        <v>31</v>
      </c>
      <c r="D38" s="21">
        <f t="shared" si="0"/>
        <v>2547.9452054794519</v>
      </c>
      <c r="E38" s="35">
        <v>7090.8364053815603</v>
      </c>
      <c r="F38" s="21">
        <f t="shared" si="1"/>
        <v>7397.2602739726026</v>
      </c>
      <c r="G38" s="45">
        <f t="shared" si="5"/>
        <v>-29750874.174158383</v>
      </c>
      <c r="H38" s="1">
        <f t="shared" si="8"/>
        <v>-30000000</v>
      </c>
      <c r="J38" s="38"/>
      <c r="N38" s="46" t="s">
        <v>35</v>
      </c>
      <c r="O38" s="30">
        <v>44651</v>
      </c>
      <c r="P38" s="22">
        <f t="shared" si="6"/>
        <v>31</v>
      </c>
      <c r="Q38" s="21">
        <v>128671.23287671233</v>
      </c>
      <c r="R38" s="35">
        <v>131575.28428216651</v>
      </c>
      <c r="S38" s="21"/>
      <c r="T38" s="45">
        <f t="shared" si="9"/>
        <v>-30118094.780550692</v>
      </c>
      <c r="U38" s="1">
        <f t="shared" si="11"/>
        <v>-30373561.643972598</v>
      </c>
      <c r="Y38" s="46" t="s">
        <v>35</v>
      </c>
      <c r="Z38" s="30">
        <v>44651</v>
      </c>
      <c r="AA38" s="22">
        <f t="shared" si="7"/>
        <v>31</v>
      </c>
      <c r="AB38" s="21">
        <v>128671.23287671233</v>
      </c>
      <c r="AC38" s="35">
        <v>131575.28428216651</v>
      </c>
      <c r="AD38" s="21">
        <f t="shared" ref="AD38:AD93" si="13">-SUMIF($Z$2:$Z$28,Z38,$AA$2:$AA$28)</f>
        <v>0</v>
      </c>
      <c r="AE38" s="45">
        <f t="shared" si="10"/>
        <v>-30118094.780550692</v>
      </c>
      <c r="AF38" s="1">
        <f t="shared" si="12"/>
        <v>-30373561.643972598</v>
      </c>
    </row>
    <row r="39" spans="1:35" x14ac:dyDescent="0.3">
      <c r="A39" s="46" t="s">
        <v>35</v>
      </c>
      <c r="B39" s="30">
        <v>44681</v>
      </c>
      <c r="C39" s="22">
        <f t="shared" si="4"/>
        <v>30</v>
      </c>
      <c r="D39" s="21">
        <f t="shared" si="0"/>
        <v>2465.7534246575342</v>
      </c>
      <c r="E39" s="35">
        <v>6862.002694003284</v>
      </c>
      <c r="F39" s="21">
        <f t="shared" si="1"/>
        <v>0</v>
      </c>
      <c r="G39" s="45">
        <f t="shared" si="5"/>
        <v>-29757736.176852386</v>
      </c>
      <c r="H39" s="1">
        <f t="shared" si="8"/>
        <v>-30002465.753424659</v>
      </c>
      <c r="J39" s="38"/>
      <c r="N39" s="46" t="s">
        <v>35</v>
      </c>
      <c r="O39" s="30">
        <v>44681</v>
      </c>
      <c r="P39" s="22">
        <f t="shared" si="6"/>
        <v>30</v>
      </c>
      <c r="Q39" s="21">
        <v>124520.54794520549</v>
      </c>
      <c r="R39" s="35">
        <v>127880.64042869583</v>
      </c>
      <c r="S39" s="21"/>
      <c r="T39" s="45">
        <f t="shared" si="9"/>
        <v>-30245975.420979388</v>
      </c>
      <c r="U39" s="1">
        <f t="shared" si="11"/>
        <v>-30498082.191917803</v>
      </c>
      <c r="Y39" s="46" t="s">
        <v>35</v>
      </c>
      <c r="Z39" s="30">
        <v>44681</v>
      </c>
      <c r="AA39" s="22">
        <f t="shared" si="7"/>
        <v>30</v>
      </c>
      <c r="AB39" s="21">
        <v>124520.54794520549</v>
      </c>
      <c r="AC39" s="35">
        <v>127880.64042869583</v>
      </c>
      <c r="AD39" s="21">
        <f t="shared" si="13"/>
        <v>0</v>
      </c>
      <c r="AE39" s="45">
        <f t="shared" si="10"/>
        <v>-30245975.420979388</v>
      </c>
      <c r="AF39" s="1">
        <f t="shared" si="12"/>
        <v>-30498082.191917803</v>
      </c>
    </row>
    <row r="40" spans="1:35" x14ac:dyDescent="0.3">
      <c r="A40" s="46" t="s">
        <v>35</v>
      </c>
      <c r="B40" s="30">
        <v>44712</v>
      </c>
      <c r="C40" s="22">
        <f t="shared" si="4"/>
        <v>31</v>
      </c>
      <c r="D40" s="21">
        <f t="shared" si="0"/>
        <v>2547.9452054794519</v>
      </c>
      <c r="E40" s="35">
        <v>7092.398848824203</v>
      </c>
      <c r="F40" s="21">
        <f t="shared" si="1"/>
        <v>0</v>
      </c>
      <c r="G40" s="45">
        <f t="shared" si="5"/>
        <v>-29764828.575701211</v>
      </c>
      <c r="H40" s="1">
        <f t="shared" si="8"/>
        <v>-30005013.698630139</v>
      </c>
      <c r="I40" t="s">
        <v>1263</v>
      </c>
      <c r="J40" s="399" t="s">
        <v>1446</v>
      </c>
      <c r="K40" s="399"/>
      <c r="N40" s="46" t="s">
        <v>35</v>
      </c>
      <c r="O40" s="30">
        <v>44712</v>
      </c>
      <c r="P40" s="22">
        <f t="shared" si="6"/>
        <v>31</v>
      </c>
      <c r="Q40" s="21">
        <v>128671.23287671233</v>
      </c>
      <c r="R40" s="35">
        <v>132713.83845495433</v>
      </c>
      <c r="S40" s="21"/>
      <c r="T40" s="45">
        <f t="shared" si="9"/>
        <v>-30378689.259434342</v>
      </c>
      <c r="U40" s="1">
        <f t="shared" si="11"/>
        <v>-30626753.424794514</v>
      </c>
      <c r="W40" s="493" t="s">
        <v>1431</v>
      </c>
      <c r="X40" s="493"/>
      <c r="Y40" s="46" t="s">
        <v>35</v>
      </c>
      <c r="Z40" s="30">
        <v>44712</v>
      </c>
      <c r="AA40" s="22">
        <f t="shared" si="7"/>
        <v>31</v>
      </c>
      <c r="AB40" s="21">
        <v>128671.23287671233</v>
      </c>
      <c r="AC40" s="35">
        <v>132713.83845495433</v>
      </c>
      <c r="AD40" s="21">
        <f t="shared" si="13"/>
        <v>0</v>
      </c>
      <c r="AE40" s="45">
        <f t="shared" si="10"/>
        <v>-30378689.259434342</v>
      </c>
      <c r="AF40" s="1">
        <f t="shared" si="12"/>
        <v>-30626753.424794514</v>
      </c>
      <c r="AH40" s="491"/>
      <c r="AI40" s="491"/>
    </row>
    <row r="41" spans="1:35" x14ac:dyDescent="0.3">
      <c r="A41" s="326" t="s">
        <v>35</v>
      </c>
      <c r="B41" s="327">
        <v>44742</v>
      </c>
      <c r="C41" s="328">
        <f t="shared" si="4"/>
        <v>30</v>
      </c>
      <c r="D41" s="329">
        <f t="shared" si="0"/>
        <v>2465.7534246575342</v>
      </c>
      <c r="E41" s="330">
        <v>6865.2212596274912</v>
      </c>
      <c r="F41" s="329">
        <f t="shared" si="1"/>
        <v>7479.4520547945203</v>
      </c>
      <c r="G41" s="331">
        <f t="shared" si="5"/>
        <v>-29764214.344906043</v>
      </c>
      <c r="H41" s="332">
        <f t="shared" si="8"/>
        <v>-30000000.000000004</v>
      </c>
      <c r="I41">
        <f>H41*24.74</f>
        <v>-742200000</v>
      </c>
      <c r="J41" s="398">
        <f>SUM(Q36:Q41)-SUM(D36:D41)</f>
        <v>736397.26027397253</v>
      </c>
      <c r="K41" s="399"/>
      <c r="N41" s="326" t="s">
        <v>35</v>
      </c>
      <c r="O41" s="327">
        <v>44742</v>
      </c>
      <c r="P41" s="328">
        <f t="shared" si="6"/>
        <v>30</v>
      </c>
      <c r="Q41" s="329">
        <v>124520.54794520549</v>
      </c>
      <c r="R41" s="330">
        <v>128987.22391489893</v>
      </c>
      <c r="S41" s="329"/>
      <c r="T41" s="45">
        <f t="shared" si="9"/>
        <v>-30507676.483349241</v>
      </c>
      <c r="U41" s="332">
        <f t="shared" si="11"/>
        <v>-30751273.972739719</v>
      </c>
      <c r="W41" s="383">
        <f>SUM(R36:R41)-SUM(E36:E41)</f>
        <v>728585.42597744241</v>
      </c>
      <c r="X41" s="392" t="s">
        <v>1432</v>
      </c>
      <c r="Y41" s="326" t="s">
        <v>35</v>
      </c>
      <c r="Z41" s="327">
        <v>44742</v>
      </c>
      <c r="AA41" s="328">
        <f t="shared" si="7"/>
        <v>30</v>
      </c>
      <c r="AB41" s="329">
        <v>124520.54794520549</v>
      </c>
      <c r="AC41" s="330">
        <v>128987.22391489893</v>
      </c>
      <c r="AD41" s="329">
        <f t="shared" si="13"/>
        <v>0</v>
      </c>
      <c r="AE41" s="45">
        <f t="shared" si="10"/>
        <v>-30507676.483349241</v>
      </c>
      <c r="AF41" s="332">
        <f t="shared" si="12"/>
        <v>-30751273.972739719</v>
      </c>
      <c r="AH41" s="438"/>
      <c r="AI41" s="439"/>
    </row>
    <row r="42" spans="1:35" x14ac:dyDescent="0.3">
      <c r="A42" s="46" t="s">
        <v>35</v>
      </c>
      <c r="B42" s="30">
        <v>44773</v>
      </c>
      <c r="C42" s="22">
        <f t="shared" si="4"/>
        <v>31</v>
      </c>
      <c r="D42" s="21">
        <f t="shared" si="0"/>
        <v>2547.9452054794519</v>
      </c>
      <c r="E42" s="35">
        <f t="shared" ref="E42:E94" si="14">ABS(G41*(1+$B$29)^(C42/365))+G41</f>
        <v>7093.9428423382342</v>
      </c>
      <c r="F42" s="21">
        <f t="shared" si="1"/>
        <v>0</v>
      </c>
      <c r="G42" s="45">
        <f t="shared" si="5"/>
        <v>-29771308.287748381</v>
      </c>
      <c r="H42" s="1">
        <f t="shared" si="8"/>
        <v>-30002547.945205484</v>
      </c>
      <c r="J42" s="65"/>
      <c r="N42" s="46" t="s">
        <v>35</v>
      </c>
      <c r="O42" s="30">
        <v>44773</v>
      </c>
      <c r="P42" s="22">
        <f t="shared" si="6"/>
        <v>31</v>
      </c>
      <c r="Q42" s="400">
        <v>128671.23287671233</v>
      </c>
      <c r="R42" s="35">
        <v>133862.2448246181</v>
      </c>
      <c r="S42" s="21">
        <f>SUMIF($O$2:$O$28,O42,$P$2:$P$28)</f>
        <v>0</v>
      </c>
      <c r="T42" s="45">
        <f t="shared" si="9"/>
        <v>-30641538.728173859</v>
      </c>
      <c r="U42" s="1">
        <f t="shared" si="11"/>
        <v>-30879945.205616429</v>
      </c>
      <c r="X42" t="s">
        <v>1430</v>
      </c>
      <c r="Y42" s="46" t="s">
        <v>35</v>
      </c>
      <c r="Z42" s="30">
        <v>44773</v>
      </c>
      <c r="AA42" s="22">
        <f t="shared" si="7"/>
        <v>31</v>
      </c>
      <c r="AB42" s="400">
        <v>128671.23287671233</v>
      </c>
      <c r="AC42" s="35">
        <v>133862.2448246181</v>
      </c>
      <c r="AD42" s="21">
        <f t="shared" si="13"/>
        <v>0</v>
      </c>
      <c r="AE42" s="45">
        <f t="shared" si="10"/>
        <v>-30641538.728173859</v>
      </c>
      <c r="AF42" s="1">
        <f t="shared" si="12"/>
        <v>-30879945.205616429</v>
      </c>
    </row>
    <row r="43" spans="1:35" x14ac:dyDescent="0.3">
      <c r="A43" s="46" t="s">
        <v>35</v>
      </c>
      <c r="B43" s="30">
        <v>44804</v>
      </c>
      <c r="C43" s="22">
        <f t="shared" si="4"/>
        <v>31</v>
      </c>
      <c r="D43" s="21">
        <f t="shared" si="0"/>
        <v>2547.9452054794519</v>
      </c>
      <c r="E43" s="35">
        <f t="shared" si="14"/>
        <v>7095.6335983723402</v>
      </c>
      <c r="F43" s="21">
        <f t="shared" si="1"/>
        <v>0</v>
      </c>
      <c r="G43" s="45">
        <f t="shared" si="5"/>
        <v>-29778403.921346754</v>
      </c>
      <c r="H43" s="1">
        <f t="shared" si="8"/>
        <v>-30005095.890410963</v>
      </c>
      <c r="J43" s="65"/>
      <c r="N43" s="46" t="s">
        <v>35</v>
      </c>
      <c r="O43" s="30">
        <v>44804</v>
      </c>
      <c r="P43" s="22">
        <f t="shared" si="6"/>
        <v>31</v>
      </c>
      <c r="Q43" s="400">
        <v>128671.23287671233</v>
      </c>
      <c r="R43" s="35">
        <v>134449.66412365064</v>
      </c>
      <c r="S43" s="21">
        <f>SUMIF($O$2:$O$28,O43,$P$2:$P$28)</f>
        <v>0</v>
      </c>
      <c r="T43" s="45">
        <f t="shared" si="9"/>
        <v>-30775988.39229751</v>
      </c>
      <c r="U43" s="1">
        <f t="shared" si="11"/>
        <v>-31008616.43849314</v>
      </c>
      <c r="Y43" s="46" t="s">
        <v>35</v>
      </c>
      <c r="Z43" s="30">
        <v>44804</v>
      </c>
      <c r="AA43" s="22">
        <f t="shared" si="7"/>
        <v>31</v>
      </c>
      <c r="AB43" s="400">
        <v>128671.23287671233</v>
      </c>
      <c r="AC43" s="35">
        <v>134449.66412365064</v>
      </c>
      <c r="AD43" s="21">
        <f t="shared" si="13"/>
        <v>0</v>
      </c>
      <c r="AE43" s="45">
        <f t="shared" si="10"/>
        <v>-30775988.39229751</v>
      </c>
      <c r="AF43" s="1">
        <f t="shared" si="12"/>
        <v>-31008616.43849314</v>
      </c>
    </row>
    <row r="44" spans="1:35" x14ac:dyDescent="0.3">
      <c r="A44" s="46" t="s">
        <v>35</v>
      </c>
      <c r="B44" s="30">
        <v>44834</v>
      </c>
      <c r="C44" s="22">
        <f t="shared" si="4"/>
        <v>30</v>
      </c>
      <c r="D44" s="21">
        <f t="shared" si="0"/>
        <v>2465.7534246575342</v>
      </c>
      <c r="E44" s="35">
        <f t="shared" si="14"/>
        <v>6868.3523964770138</v>
      </c>
      <c r="F44" s="21">
        <f t="shared" si="1"/>
        <v>7561.6438356164399</v>
      </c>
      <c r="G44" s="45">
        <f t="shared" si="5"/>
        <v>-29777710.629907615</v>
      </c>
      <c r="H44" s="1">
        <f t="shared" si="8"/>
        <v>-30000000.000000007</v>
      </c>
      <c r="J44" s="65"/>
      <c r="N44" s="46" t="s">
        <v>35</v>
      </c>
      <c r="O44" s="30">
        <v>44834</v>
      </c>
      <c r="P44" s="22">
        <f t="shared" si="6"/>
        <v>30</v>
      </c>
      <c r="Q44" s="400">
        <v>124520.54794520549</v>
      </c>
      <c r="R44" s="35">
        <v>130674.30746859312</v>
      </c>
      <c r="S44" s="21">
        <f>SUMIF($O$2:$O$28,O44,$P$2:$P$28)</f>
        <v>0</v>
      </c>
      <c r="T44" s="45">
        <f t="shared" si="9"/>
        <v>-30906662.699766103</v>
      </c>
      <c r="U44" s="1">
        <f t="shared" si="11"/>
        <v>-31133136.986438345</v>
      </c>
      <c r="Y44" s="46" t="s">
        <v>35</v>
      </c>
      <c r="Z44" s="30">
        <v>44834</v>
      </c>
      <c r="AA44" s="22">
        <f t="shared" si="7"/>
        <v>30</v>
      </c>
      <c r="AB44" s="400">
        <v>124520.54794520549</v>
      </c>
      <c r="AC44" s="35">
        <v>130674.30746859312</v>
      </c>
      <c r="AD44" s="21">
        <f t="shared" si="13"/>
        <v>0</v>
      </c>
      <c r="AE44" s="45">
        <f t="shared" si="10"/>
        <v>-30906662.699766103</v>
      </c>
      <c r="AF44" s="1">
        <f t="shared" si="12"/>
        <v>-31133136.986438345</v>
      </c>
    </row>
    <row r="45" spans="1:35" x14ac:dyDescent="0.3">
      <c r="A45" s="46" t="s">
        <v>35</v>
      </c>
      <c r="B45" s="30">
        <v>44865</v>
      </c>
      <c r="C45" s="22">
        <f t="shared" si="4"/>
        <v>31</v>
      </c>
      <c r="D45" s="21">
        <f t="shared" si="0"/>
        <v>2547.9452054794519</v>
      </c>
      <c r="E45" s="35">
        <f t="shared" si="14"/>
        <v>7097.1595196947455</v>
      </c>
      <c r="F45" s="21">
        <f t="shared" si="1"/>
        <v>0</v>
      </c>
      <c r="G45" s="45">
        <f t="shared" si="5"/>
        <v>-29784807.78942731</v>
      </c>
      <c r="H45" s="1">
        <f t="shared" si="8"/>
        <v>-30002547.945205487</v>
      </c>
      <c r="J45" s="65"/>
      <c r="N45" s="46" t="s">
        <v>35</v>
      </c>
      <c r="O45" s="30">
        <v>44865</v>
      </c>
      <c r="P45" s="22">
        <f t="shared" si="6"/>
        <v>31</v>
      </c>
      <c r="Q45" s="400">
        <v>128671.23287671233</v>
      </c>
      <c r="R45" s="35">
        <v>135613.09103132039</v>
      </c>
      <c r="S45" s="21">
        <f>SUMIF($O$2:$O$28,O45,$P$2:$P$28)</f>
        <v>0</v>
      </c>
      <c r="T45" s="45">
        <f t="shared" si="9"/>
        <v>-31042275.790797424</v>
      </c>
      <c r="U45" s="1">
        <f t="shared" si="11"/>
        <v>-31261808.219315056</v>
      </c>
      <c r="Y45" s="46" t="s">
        <v>35</v>
      </c>
      <c r="Z45" s="30">
        <v>44865</v>
      </c>
      <c r="AA45" s="22">
        <f t="shared" si="7"/>
        <v>31</v>
      </c>
      <c r="AB45" s="400">
        <v>128671.23287671233</v>
      </c>
      <c r="AC45" s="35">
        <v>135613.09103132039</v>
      </c>
      <c r="AD45" s="21">
        <f t="shared" si="13"/>
        <v>0</v>
      </c>
      <c r="AE45" s="45">
        <f t="shared" si="10"/>
        <v>-31042275.790797424</v>
      </c>
      <c r="AF45" s="1">
        <f t="shared" si="12"/>
        <v>-31261808.219315056</v>
      </c>
    </row>
    <row r="46" spans="1:35" x14ac:dyDescent="0.3">
      <c r="A46" s="46" t="s">
        <v>35</v>
      </c>
      <c r="B46" s="30">
        <v>44895</v>
      </c>
      <c r="C46" s="22">
        <f t="shared" si="4"/>
        <v>30</v>
      </c>
      <c r="D46" s="21">
        <f t="shared" si="0"/>
        <v>2465.7534246575342</v>
      </c>
      <c r="E46" s="35">
        <f t="shared" si="14"/>
        <v>6869.829440806061</v>
      </c>
      <c r="F46" s="21">
        <f t="shared" si="1"/>
        <v>0</v>
      </c>
      <c r="G46" s="45">
        <f t="shared" si="5"/>
        <v>-29791677.618868116</v>
      </c>
      <c r="H46" s="1">
        <f t="shared" si="8"/>
        <v>-30005013.698630147</v>
      </c>
      <c r="J46" s="65"/>
      <c r="N46" s="46" t="s">
        <v>35</v>
      </c>
      <c r="O46" s="30">
        <v>44874</v>
      </c>
      <c r="P46" s="22">
        <f t="shared" si="6"/>
        <v>9</v>
      </c>
      <c r="Q46" s="400">
        <v>37356.164383561641</v>
      </c>
      <c r="R46" s="35">
        <v>39482.892659246922</v>
      </c>
      <c r="S46" s="21">
        <f>-SUMIF($O$2:$O$28,O46,$P$2:$P$28)</f>
        <v>-1350000</v>
      </c>
      <c r="T46" s="45">
        <f t="shared" si="9"/>
        <v>-29731758.68345667</v>
      </c>
      <c r="U46" s="1">
        <f t="shared" si="11"/>
        <v>-29949164.383698616</v>
      </c>
      <c r="Y46" s="46" t="s">
        <v>35</v>
      </c>
      <c r="Z46" s="30">
        <v>44874</v>
      </c>
      <c r="AA46" s="22">
        <f t="shared" si="7"/>
        <v>9</v>
      </c>
      <c r="AB46" s="400">
        <v>37356.164383561641</v>
      </c>
      <c r="AC46" s="35">
        <v>39482.892659246922</v>
      </c>
      <c r="AD46" s="21">
        <f t="shared" si="13"/>
        <v>-1350000</v>
      </c>
      <c r="AE46" s="45">
        <f t="shared" si="10"/>
        <v>-29731758.68345667</v>
      </c>
      <c r="AF46" s="1">
        <f t="shared" si="12"/>
        <v>-29949164.383698616</v>
      </c>
    </row>
    <row r="47" spans="1:35" s="58" customFormat="1" x14ac:dyDescent="0.3">
      <c r="A47" s="53" t="s">
        <v>35</v>
      </c>
      <c r="B47" s="54">
        <v>44926</v>
      </c>
      <c r="C47" s="55">
        <f t="shared" si="4"/>
        <v>31</v>
      </c>
      <c r="D47" s="56">
        <f t="shared" si="0"/>
        <v>2547.9452054794519</v>
      </c>
      <c r="E47" s="69">
        <f t="shared" si="14"/>
        <v>7100.4883836880326</v>
      </c>
      <c r="F47" s="56">
        <f t="shared" si="1"/>
        <v>7561.6438356164399</v>
      </c>
      <c r="G47" s="476">
        <f t="shared" si="5"/>
        <v>-29791216.463416189</v>
      </c>
      <c r="H47" s="11">
        <f t="shared" si="8"/>
        <v>-30000000.000000011</v>
      </c>
      <c r="J47" s="402"/>
      <c r="N47" s="53" t="s">
        <v>35</v>
      </c>
      <c r="O47" s="54">
        <v>44926</v>
      </c>
      <c r="P47" s="55">
        <f t="shared" si="6"/>
        <v>52</v>
      </c>
      <c r="Q47" s="401">
        <v>215835.61643835617</v>
      </c>
      <c r="R47" s="69">
        <v>219156.76063548401</v>
      </c>
      <c r="S47" s="56">
        <f>-SUMIF($O$2:$O$28,O47,$P$2:$P$28)</f>
        <v>-165000</v>
      </c>
      <c r="T47" s="476">
        <f t="shared" si="9"/>
        <v>-29785915.444092155</v>
      </c>
      <c r="U47" s="11">
        <f t="shared" si="11"/>
        <v>-30000000.000136971</v>
      </c>
      <c r="W47" s="402">
        <f>SUM(R42:R47,W41)</f>
        <v>1521824.3867203556</v>
      </c>
      <c r="X47" s="402">
        <f>SUM(R36:R47)+D34+D35</f>
        <v>1566925.948421807</v>
      </c>
      <c r="Y47" s="53" t="s">
        <v>35</v>
      </c>
      <c r="Z47" s="54">
        <v>44926</v>
      </c>
      <c r="AA47" s="55">
        <f t="shared" si="7"/>
        <v>52</v>
      </c>
      <c r="AB47" s="401">
        <v>215835.61643835617</v>
      </c>
      <c r="AC47" s="69">
        <v>219156.76063548401</v>
      </c>
      <c r="AD47" s="56">
        <f t="shared" si="13"/>
        <v>-165000</v>
      </c>
      <c r="AE47" s="476">
        <f>AE46-AC47-AD47</f>
        <v>-29785915.444092155</v>
      </c>
      <c r="AF47" s="11">
        <f t="shared" si="12"/>
        <v>-30000000.000136971</v>
      </c>
      <c r="AH47" s="402"/>
      <c r="AI47" s="402"/>
    </row>
    <row r="48" spans="1:35" x14ac:dyDescent="0.3">
      <c r="A48" s="46" t="s">
        <v>35</v>
      </c>
      <c r="B48" s="30">
        <v>44957</v>
      </c>
      <c r="C48" s="22">
        <f t="shared" si="4"/>
        <v>31</v>
      </c>
      <c r="D48" s="21">
        <f t="shared" si="0"/>
        <v>2547.9452054794519</v>
      </c>
      <c r="E48" s="35">
        <f t="shared" si="14"/>
        <v>7100.3784728273749</v>
      </c>
      <c r="F48" s="21">
        <f t="shared" si="1"/>
        <v>0</v>
      </c>
      <c r="G48" s="45">
        <f t="shared" si="5"/>
        <v>-29798316.841889016</v>
      </c>
      <c r="H48" s="1">
        <f t="shared" si="8"/>
        <v>-30002547.945205491</v>
      </c>
      <c r="J48" s="65"/>
      <c r="N48" s="46" t="s">
        <v>35</v>
      </c>
      <c r="O48" s="30">
        <v>44957</v>
      </c>
      <c r="P48" s="22">
        <f t="shared" si="6"/>
        <v>31</v>
      </c>
      <c r="Q48" s="21">
        <f t="shared" ref="Q48:Q59" si="15">-$H$32*$S$2/365*P48</f>
        <v>128671.23287671233</v>
      </c>
      <c r="R48" s="35">
        <v>130694.98609302938</v>
      </c>
      <c r="S48" s="21">
        <f t="shared" ref="S48:S57" si="16">SUMIF($O$2:$O$28,O48,$P$2:$P$28)</f>
        <v>0</v>
      </c>
      <c r="T48" s="45">
        <f t="shared" si="9"/>
        <v>-29916610.430185184</v>
      </c>
      <c r="U48" s="1">
        <f t="shared" si="11"/>
        <v>-30128671.233013682</v>
      </c>
      <c r="W48" t="s">
        <v>1433</v>
      </c>
      <c r="X48" s="65">
        <f>SUM(R42:R47)+SUM(E34:E41)+J35+W41</f>
        <v>1566925.948421807</v>
      </c>
      <c r="Y48" s="46" t="s">
        <v>35</v>
      </c>
      <c r="Z48" s="30">
        <v>44957</v>
      </c>
      <c r="AA48" s="22">
        <f t="shared" si="7"/>
        <v>31</v>
      </c>
      <c r="AB48" s="21">
        <v>128671.23287671233</v>
      </c>
      <c r="AC48" s="35">
        <v>130694.98609302938</v>
      </c>
      <c r="AD48" s="21">
        <f t="shared" si="13"/>
        <v>0</v>
      </c>
      <c r="AE48" s="45">
        <f t="shared" ref="AE48:AE53" si="17">AE47-AC48-AD48</f>
        <v>-29916610.430185184</v>
      </c>
      <c r="AF48" s="1">
        <f t="shared" si="12"/>
        <v>-30128671.233013682</v>
      </c>
      <c r="AI48" s="65"/>
    </row>
    <row r="49" spans="1:37" x14ac:dyDescent="0.3">
      <c r="A49" s="46" t="s">
        <v>35</v>
      </c>
      <c r="B49" s="30">
        <v>44985</v>
      </c>
      <c r="C49" s="22">
        <f t="shared" si="4"/>
        <v>28</v>
      </c>
      <c r="D49" s="21">
        <f t="shared" si="0"/>
        <v>2301.3698630136987</v>
      </c>
      <c r="E49" s="35">
        <f t="shared" si="14"/>
        <v>6414.6996203139424</v>
      </c>
      <c r="F49" s="21">
        <f t="shared" si="1"/>
        <v>0</v>
      </c>
      <c r="G49" s="45">
        <f t="shared" si="5"/>
        <v>-29804731.54150933</v>
      </c>
      <c r="H49" s="1">
        <f t="shared" si="8"/>
        <v>-30004849.315068506</v>
      </c>
      <c r="J49" s="65"/>
      <c r="N49" s="46" t="s">
        <v>35</v>
      </c>
      <c r="O49" s="30">
        <v>44985</v>
      </c>
      <c r="P49" s="22">
        <f t="shared" si="6"/>
        <v>28</v>
      </c>
      <c r="Q49" s="21">
        <f t="shared" si="15"/>
        <v>116219.17808219178</v>
      </c>
      <c r="R49" s="35">
        <v>118539.9677201733</v>
      </c>
      <c r="S49" s="21">
        <f t="shared" si="16"/>
        <v>0</v>
      </c>
      <c r="T49" s="45">
        <f>T48-R49-S49</f>
        <v>-30035150.397905357</v>
      </c>
      <c r="U49" s="1">
        <f t="shared" si="11"/>
        <v>-30244890.411095873</v>
      </c>
      <c r="Y49" s="46" t="s">
        <v>35</v>
      </c>
      <c r="Z49" s="30">
        <v>44985</v>
      </c>
      <c r="AA49" s="22">
        <f t="shared" si="7"/>
        <v>28</v>
      </c>
      <c r="AB49" s="21">
        <v>116219.17808219178</v>
      </c>
      <c r="AC49" s="35">
        <v>118539.9677201733</v>
      </c>
      <c r="AD49" s="21">
        <f t="shared" si="13"/>
        <v>0</v>
      </c>
      <c r="AE49" s="45">
        <f t="shared" si="17"/>
        <v>-30035150.397905357</v>
      </c>
      <c r="AF49" s="1">
        <f t="shared" si="12"/>
        <v>-30244890.411095873</v>
      </c>
    </row>
    <row r="50" spans="1:37" x14ac:dyDescent="0.3">
      <c r="A50" s="46" t="s">
        <v>35</v>
      </c>
      <c r="B50" s="30">
        <v>45016</v>
      </c>
      <c r="C50" s="22">
        <f t="shared" si="4"/>
        <v>31</v>
      </c>
      <c r="D50" s="21">
        <f t="shared" si="0"/>
        <v>2547.9452054794519</v>
      </c>
      <c r="E50" s="35">
        <f t="shared" si="14"/>
        <v>7103.5996292941272</v>
      </c>
      <c r="F50" s="21">
        <f t="shared" si="1"/>
        <v>7397.2602739725999</v>
      </c>
      <c r="G50" s="45">
        <f t="shared" si="5"/>
        <v>-29804437.88086465</v>
      </c>
      <c r="H50" s="1">
        <f t="shared" si="8"/>
        <v>-30000000.000000011</v>
      </c>
      <c r="J50" s="65"/>
      <c r="N50" s="46" t="s">
        <v>35</v>
      </c>
      <c r="O50" s="30">
        <v>45016</v>
      </c>
      <c r="P50" s="22">
        <f t="shared" si="6"/>
        <v>31</v>
      </c>
      <c r="Q50" s="21">
        <f t="shared" si="15"/>
        <v>128671.23287671233</v>
      </c>
      <c r="R50" s="35">
        <v>131788.68821983784</v>
      </c>
      <c r="S50" s="21">
        <f t="shared" si="16"/>
        <v>0</v>
      </c>
      <c r="T50" s="45">
        <f t="shared" si="9"/>
        <v>-30166939.086125195</v>
      </c>
      <c r="U50" s="1">
        <f t="shared" si="11"/>
        <v>-30373561.643972583</v>
      </c>
      <c r="Y50" s="46" t="s">
        <v>35</v>
      </c>
      <c r="Z50" s="30">
        <v>45016</v>
      </c>
      <c r="AA50" s="22">
        <f t="shared" si="7"/>
        <v>31</v>
      </c>
      <c r="AB50" s="21">
        <v>128671.23287671233</v>
      </c>
      <c r="AC50" s="35">
        <v>131788.68821983784</v>
      </c>
      <c r="AD50" s="21">
        <f t="shared" si="13"/>
        <v>0</v>
      </c>
      <c r="AE50" s="45">
        <f t="shared" si="17"/>
        <v>-30166939.086125195</v>
      </c>
      <c r="AF50" s="1">
        <f t="shared" si="12"/>
        <v>-30373561.643972583</v>
      </c>
    </row>
    <row r="51" spans="1:37" x14ac:dyDescent="0.3">
      <c r="A51" s="46" t="s">
        <v>35</v>
      </c>
      <c r="B51" s="30">
        <v>45046</v>
      </c>
      <c r="C51" s="22">
        <f t="shared" si="4"/>
        <v>30</v>
      </c>
      <c r="D51" s="21">
        <f t="shared" si="0"/>
        <v>2465.7534246575342</v>
      </c>
      <c r="E51" s="35">
        <f t="shared" si="14"/>
        <v>6874.3570973575115</v>
      </c>
      <c r="F51" s="21">
        <f t="shared" si="1"/>
        <v>0</v>
      </c>
      <c r="G51" s="45">
        <f t="shared" si="5"/>
        <v>-29811312.237962008</v>
      </c>
      <c r="H51" s="1">
        <f t="shared" si="8"/>
        <v>-30002465.753424671</v>
      </c>
      <c r="J51" s="65"/>
      <c r="N51" s="46" t="s">
        <v>35</v>
      </c>
      <c r="O51" s="30">
        <v>45046</v>
      </c>
      <c r="P51" s="22">
        <f t="shared" si="6"/>
        <v>30</v>
      </c>
      <c r="Q51" s="21">
        <f t="shared" si="15"/>
        <v>124520.54794520549</v>
      </c>
      <c r="R51" s="35">
        <v>128088.05196778476</v>
      </c>
      <c r="S51" s="21">
        <f t="shared" si="16"/>
        <v>0</v>
      </c>
      <c r="T51" s="45">
        <f t="shared" si="9"/>
        <v>-30295027.13809298</v>
      </c>
      <c r="U51" s="1">
        <f t="shared" si="11"/>
        <v>-30498082.191917788</v>
      </c>
      <c r="Y51" s="46" t="s">
        <v>35</v>
      </c>
      <c r="Z51" s="30">
        <v>45046</v>
      </c>
      <c r="AA51" s="22">
        <f t="shared" si="7"/>
        <v>30</v>
      </c>
      <c r="AB51" s="21">
        <v>124520.54794520549</v>
      </c>
      <c r="AC51" s="35">
        <v>128088.05196778476</v>
      </c>
      <c r="AD51" s="21">
        <f t="shared" si="13"/>
        <v>0</v>
      </c>
      <c r="AE51" s="45">
        <f t="shared" si="17"/>
        <v>-30295027.13809298</v>
      </c>
      <c r="AF51" s="1">
        <f t="shared" si="12"/>
        <v>-30498082.191917788</v>
      </c>
    </row>
    <row r="52" spans="1:37" x14ac:dyDescent="0.3">
      <c r="A52" s="46" t="s">
        <v>35</v>
      </c>
      <c r="B52" s="30">
        <v>45077</v>
      </c>
      <c r="C52" s="22">
        <f t="shared" si="4"/>
        <v>31</v>
      </c>
      <c r="D52" s="21">
        <f t="shared" si="0"/>
        <v>2547.9452054794519</v>
      </c>
      <c r="E52" s="35">
        <f t="shared" si="14"/>
        <v>7105.1680592186749</v>
      </c>
      <c r="F52" s="21">
        <f t="shared" si="1"/>
        <v>0</v>
      </c>
      <c r="G52" s="45">
        <f t="shared" si="5"/>
        <v>-29818417.406021226</v>
      </c>
      <c r="H52" s="1">
        <f t="shared" si="8"/>
        <v>-30005013.69863015</v>
      </c>
      <c r="J52" s="65"/>
      <c r="N52" s="46" t="s">
        <v>35</v>
      </c>
      <c r="O52" s="30">
        <v>45077</v>
      </c>
      <c r="P52" s="22">
        <f t="shared" si="6"/>
        <v>31</v>
      </c>
      <c r="Q52" s="21">
        <f t="shared" si="15"/>
        <v>128671.23287671233</v>
      </c>
      <c r="R52" s="35">
        <v>132929.08903080598</v>
      </c>
      <c r="S52" s="21">
        <f t="shared" si="16"/>
        <v>0</v>
      </c>
      <c r="T52" s="45">
        <f t="shared" si="9"/>
        <v>-30427956.227123786</v>
      </c>
      <c r="U52" s="1">
        <f t="shared" si="11"/>
        <v>-30626753.424794499</v>
      </c>
      <c r="Y52" s="46" t="s">
        <v>35</v>
      </c>
      <c r="Z52" s="30">
        <v>45077</v>
      </c>
      <c r="AA52" s="22">
        <f t="shared" si="7"/>
        <v>31</v>
      </c>
      <c r="AB52" s="21">
        <v>128671.23287671233</v>
      </c>
      <c r="AC52" s="35">
        <v>132929.08903080598</v>
      </c>
      <c r="AD52" s="21">
        <f t="shared" si="13"/>
        <v>0</v>
      </c>
      <c r="AE52" s="45">
        <f t="shared" si="17"/>
        <v>-30427956.227123786</v>
      </c>
      <c r="AF52" s="1">
        <f t="shared" si="12"/>
        <v>-30626753.424794499</v>
      </c>
      <c r="AH52" s="491"/>
      <c r="AI52" s="491"/>
    </row>
    <row r="53" spans="1:37" s="437" customFormat="1" x14ac:dyDescent="0.3">
      <c r="A53" s="326" t="s">
        <v>35</v>
      </c>
      <c r="B53" s="327">
        <v>45107</v>
      </c>
      <c r="C53" s="328">
        <f t="shared" si="4"/>
        <v>30</v>
      </c>
      <c r="D53" s="329">
        <f t="shared" si="0"/>
        <v>2465.7534246575342</v>
      </c>
      <c r="E53" s="330">
        <f t="shared" si="14"/>
        <v>6877.5814577154815</v>
      </c>
      <c r="F53" s="329">
        <f t="shared" si="1"/>
        <v>7479.4520547945203</v>
      </c>
      <c r="G53" s="331">
        <f t="shared" si="5"/>
        <v>-29817815.535424147</v>
      </c>
      <c r="H53" s="332">
        <f t="shared" si="8"/>
        <v>-30000000.000000015</v>
      </c>
      <c r="J53" s="477"/>
      <c r="N53" s="326" t="s">
        <v>35</v>
      </c>
      <c r="O53" s="327">
        <v>45107</v>
      </c>
      <c r="P53" s="328">
        <f t="shared" si="6"/>
        <v>30</v>
      </c>
      <c r="Q53" s="329">
        <f t="shared" si="15"/>
        <v>124520.54794520549</v>
      </c>
      <c r="R53" s="330">
        <v>129196.43023842946</v>
      </c>
      <c r="S53" s="329">
        <f t="shared" si="16"/>
        <v>0</v>
      </c>
      <c r="T53" s="331">
        <f t="shared" si="9"/>
        <v>-30557152.657362215</v>
      </c>
      <c r="U53" s="332">
        <f t="shared" si="11"/>
        <v>-30751273.972739704</v>
      </c>
      <c r="Y53" s="326" t="s">
        <v>35</v>
      </c>
      <c r="Z53" s="327">
        <v>45107</v>
      </c>
      <c r="AA53" s="328">
        <f t="shared" si="7"/>
        <v>30</v>
      </c>
      <c r="AB53" s="330">
        <v>124520.54794520549</v>
      </c>
      <c r="AC53" s="330">
        <v>129196.43023842946</v>
      </c>
      <c r="AD53" s="329"/>
      <c r="AE53" s="331">
        <f t="shared" si="17"/>
        <v>-30557152.657362215</v>
      </c>
      <c r="AF53" s="332">
        <f t="shared" si="12"/>
        <v>-30751273.972739704</v>
      </c>
      <c r="AH53" s="478"/>
      <c r="AI53" s="479"/>
      <c r="AJ53" s="477"/>
      <c r="AK53" s="477"/>
    </row>
    <row r="54" spans="1:37" x14ac:dyDescent="0.3">
      <c r="A54" s="46" t="s">
        <v>35</v>
      </c>
      <c r="B54" s="30">
        <v>45138</v>
      </c>
      <c r="C54" s="22">
        <f t="shared" si="4"/>
        <v>31</v>
      </c>
      <c r="D54" s="21">
        <f t="shared" si="0"/>
        <v>2547.9452054794519</v>
      </c>
      <c r="E54" s="35">
        <f t="shared" si="14"/>
        <v>7106.7180420272052</v>
      </c>
      <c r="F54" s="21">
        <f t="shared" si="1"/>
        <v>0</v>
      </c>
      <c r="G54" s="45">
        <f t="shared" si="5"/>
        <v>-29824922.253466174</v>
      </c>
      <c r="H54" s="1">
        <f t="shared" si="8"/>
        <v>-30002547.945205495</v>
      </c>
      <c r="J54" s="65"/>
      <c r="N54" s="46" t="s">
        <v>35</v>
      </c>
      <c r="O54" s="30">
        <v>45138</v>
      </c>
      <c r="P54" s="22">
        <f t="shared" si="6"/>
        <v>31</v>
      </c>
      <c r="Q54" s="21">
        <f t="shared" si="15"/>
        <v>128671.23287671233</v>
      </c>
      <c r="R54" s="35">
        <f t="shared" ref="R54:R94" si="18">ABS(T53*(1+$O$29)^(P54/365))+T53</f>
        <v>134034.00123403221</v>
      </c>
      <c r="S54" s="21">
        <f t="shared" si="16"/>
        <v>0</v>
      </c>
      <c r="T54" s="45">
        <f t="shared" si="9"/>
        <v>-30691186.658596247</v>
      </c>
      <c r="U54" s="1">
        <f t="shared" si="11"/>
        <v>-30879945.205616415</v>
      </c>
      <c r="Y54" s="46" t="s">
        <v>35</v>
      </c>
      <c r="Z54" s="30">
        <v>45138</v>
      </c>
      <c r="AA54" s="22">
        <f t="shared" si="7"/>
        <v>31</v>
      </c>
      <c r="AB54" s="21">
        <f t="shared" ref="AB54:AB94" si="19">-$AF$32*$AD$2/365*AA54</f>
        <v>122301.36986301371</v>
      </c>
      <c r="AC54" s="35">
        <f t="shared" ref="AC54:AC94" si="20">ABS(AE53*(1+$Z$29)^(AA54/365))+AE53</f>
        <v>127775.25955381617</v>
      </c>
      <c r="AD54" s="21">
        <f t="shared" si="13"/>
        <v>0</v>
      </c>
      <c r="AE54" s="45">
        <f>AE53-AC54-AD54</f>
        <v>-30684927.916916031</v>
      </c>
      <c r="AF54" s="1">
        <f t="shared" si="12"/>
        <v>-30873575.342602719</v>
      </c>
      <c r="AK54" s="65"/>
    </row>
    <row r="55" spans="1:37" x14ac:dyDescent="0.3">
      <c r="A55" s="46" t="s">
        <v>35</v>
      </c>
      <c r="B55" s="30">
        <v>45169</v>
      </c>
      <c r="C55" s="22">
        <f t="shared" si="4"/>
        <v>31</v>
      </c>
      <c r="D55" s="21">
        <f t="shared" si="0"/>
        <v>2547.9452054794519</v>
      </c>
      <c r="E55" s="35">
        <f t="shared" si="14"/>
        <v>7108.4118428751826</v>
      </c>
      <c r="F55" s="21">
        <f t="shared" si="1"/>
        <v>0</v>
      </c>
      <c r="G55" s="45">
        <f t="shared" si="5"/>
        <v>-29832030.665309049</v>
      </c>
      <c r="H55" s="1">
        <f t="shared" si="8"/>
        <v>-30005095.890410975</v>
      </c>
      <c r="J55" s="65"/>
      <c r="N55" s="46" t="s">
        <v>35</v>
      </c>
      <c r="O55" s="30">
        <v>45169</v>
      </c>
      <c r="P55" s="22">
        <f t="shared" si="6"/>
        <v>31</v>
      </c>
      <c r="Q55" s="21">
        <f t="shared" si="15"/>
        <v>128671.23287671233</v>
      </c>
      <c r="R55" s="35">
        <f t="shared" si="18"/>
        <v>134621.91967291012</v>
      </c>
      <c r="S55" s="21">
        <f t="shared" si="16"/>
        <v>0</v>
      </c>
      <c r="T55" s="45">
        <f t="shared" si="9"/>
        <v>-30825808.578269158</v>
      </c>
      <c r="U55" s="1">
        <f t="shared" si="11"/>
        <v>-31008616.438493125</v>
      </c>
      <c r="Y55" s="46" t="s">
        <v>35</v>
      </c>
      <c r="Z55" s="30">
        <v>45169</v>
      </c>
      <c r="AA55" s="22">
        <f t="shared" si="7"/>
        <v>31</v>
      </c>
      <c r="AB55" s="21">
        <f t="shared" si="19"/>
        <v>122301.36986301371</v>
      </c>
      <c r="AC55" s="35">
        <f t="shared" si="20"/>
        <v>128309.55399993435</v>
      </c>
      <c r="AD55" s="21">
        <f t="shared" si="13"/>
        <v>0</v>
      </c>
      <c r="AE55" s="45">
        <f t="shared" ref="AE55:AE94" si="21">AE54-AC55-AD55</f>
        <v>-30813237.470915966</v>
      </c>
      <c r="AF55" s="1">
        <f t="shared" si="12"/>
        <v>-30995876.712465733</v>
      </c>
      <c r="AH55" s="491"/>
      <c r="AI55" s="491"/>
    </row>
    <row r="56" spans="1:37" x14ac:dyDescent="0.3">
      <c r="A56" s="46" t="s">
        <v>35</v>
      </c>
      <c r="B56" s="30">
        <v>45199</v>
      </c>
      <c r="C56" s="22">
        <f t="shared" si="4"/>
        <v>30</v>
      </c>
      <c r="D56" s="21">
        <f t="shared" si="0"/>
        <v>2465.7534246575342</v>
      </c>
      <c r="E56" s="35">
        <f t="shared" si="14"/>
        <v>6880.7213392965496</v>
      </c>
      <c r="F56" s="21">
        <f t="shared" si="1"/>
        <v>7561.6438356164399</v>
      </c>
      <c r="G56" s="45">
        <f t="shared" si="5"/>
        <v>-29831349.74281273</v>
      </c>
      <c r="H56" s="1">
        <f t="shared" si="8"/>
        <v>-30000000.000000019</v>
      </c>
      <c r="J56" s="65"/>
      <c r="N56" s="46" t="s">
        <v>35</v>
      </c>
      <c r="O56" s="30">
        <v>45199</v>
      </c>
      <c r="P56" s="22">
        <f t="shared" si="6"/>
        <v>30</v>
      </c>
      <c r="Q56" s="21">
        <f t="shared" si="15"/>
        <v>124520.54794520549</v>
      </c>
      <c r="R56" s="35">
        <f t="shared" si="18"/>
        <v>130841.48264617845</v>
      </c>
      <c r="S56" s="21">
        <f t="shared" si="16"/>
        <v>0</v>
      </c>
      <c r="T56" s="45">
        <f t="shared" si="9"/>
        <v>-30956650.060915336</v>
      </c>
      <c r="U56" s="1">
        <f t="shared" si="11"/>
        <v>-31133136.98643833</v>
      </c>
      <c r="Y56" s="46" t="s">
        <v>35</v>
      </c>
      <c r="Z56" s="30">
        <v>45199</v>
      </c>
      <c r="AA56" s="22">
        <f t="shared" si="7"/>
        <v>30</v>
      </c>
      <c r="AB56" s="21">
        <f t="shared" si="19"/>
        <v>118356.16438356166</v>
      </c>
      <c r="AC56" s="35">
        <f t="shared" si="20"/>
        <v>124681.35988182575</v>
      </c>
      <c r="AD56" s="21">
        <f t="shared" si="13"/>
        <v>0</v>
      </c>
      <c r="AE56" s="45">
        <f t="shared" si="21"/>
        <v>-30937918.830797791</v>
      </c>
      <c r="AF56" s="1">
        <f t="shared" si="12"/>
        <v>-31114232.876849294</v>
      </c>
      <c r="AH56" s="438"/>
      <c r="AI56" s="439"/>
    </row>
    <row r="57" spans="1:37" x14ac:dyDescent="0.3">
      <c r="A57" s="46" t="s">
        <v>35</v>
      </c>
      <c r="B57" s="30">
        <v>45230</v>
      </c>
      <c r="C57" s="22">
        <f t="shared" si="4"/>
        <v>31</v>
      </c>
      <c r="D57" s="21">
        <f t="shared" si="0"/>
        <v>2547.9452054794519</v>
      </c>
      <c r="E57" s="35">
        <f t="shared" si="14"/>
        <v>7109.9437577314675</v>
      </c>
      <c r="F57" s="21">
        <f t="shared" si="1"/>
        <v>0</v>
      </c>
      <c r="G57" s="45">
        <f t="shared" si="5"/>
        <v>-29838459.686570462</v>
      </c>
      <c r="H57" s="1">
        <f t="shared" si="8"/>
        <v>-30002547.945205498</v>
      </c>
      <c r="J57" s="65"/>
      <c r="N57" s="46" t="s">
        <v>35</v>
      </c>
      <c r="O57" s="30">
        <v>45230</v>
      </c>
      <c r="P57" s="22">
        <f t="shared" si="6"/>
        <v>31</v>
      </c>
      <c r="Q57" s="21">
        <f t="shared" si="15"/>
        <v>128671.23287671233</v>
      </c>
      <c r="R57" s="35">
        <f t="shared" si="18"/>
        <v>135786.3318939358</v>
      </c>
      <c r="S57" s="21">
        <f t="shared" si="16"/>
        <v>0</v>
      </c>
      <c r="T57" s="45">
        <f t="shared" si="9"/>
        <v>-31092436.392809272</v>
      </c>
      <c r="U57" s="1">
        <f t="shared" si="11"/>
        <v>-31261808.219315041</v>
      </c>
      <c r="Y57" s="46" t="s">
        <v>35</v>
      </c>
      <c r="Z57" s="30">
        <v>45230</v>
      </c>
      <c r="AA57" s="22">
        <f t="shared" si="7"/>
        <v>31</v>
      </c>
      <c r="AB57" s="21">
        <f t="shared" si="19"/>
        <v>122301.36986301371</v>
      </c>
      <c r="AC57" s="35">
        <f t="shared" si="20"/>
        <v>129367.43985888362</v>
      </c>
      <c r="AD57" s="21">
        <f t="shared" si="13"/>
        <v>0</v>
      </c>
      <c r="AE57" s="45">
        <f t="shared" si="21"/>
        <v>-31067286.270656675</v>
      </c>
      <c r="AF57" s="1">
        <f t="shared" si="12"/>
        <v>-31236534.246712308</v>
      </c>
    </row>
    <row r="58" spans="1:37" x14ac:dyDescent="0.3">
      <c r="A58" s="46" t="s">
        <v>35</v>
      </c>
      <c r="B58" s="30">
        <v>45260</v>
      </c>
      <c r="C58" s="22">
        <f t="shared" si="4"/>
        <v>30</v>
      </c>
      <c r="D58" s="21">
        <f t="shared" si="0"/>
        <v>2465.7534246575342</v>
      </c>
      <c r="E58" s="35">
        <f t="shared" si="14"/>
        <v>6882.204185180366</v>
      </c>
      <c r="F58" s="21">
        <f t="shared" si="1"/>
        <v>0</v>
      </c>
      <c r="G58" s="45">
        <f t="shared" si="5"/>
        <v>-29845341.890755642</v>
      </c>
      <c r="H58" s="1">
        <f t="shared" si="8"/>
        <v>-30005013.698630158</v>
      </c>
      <c r="J58" s="65"/>
      <c r="N58" s="46" t="s">
        <v>35</v>
      </c>
      <c r="O58" s="30">
        <v>45239</v>
      </c>
      <c r="P58" s="22">
        <f t="shared" si="6"/>
        <v>9</v>
      </c>
      <c r="Q58" s="21">
        <f t="shared" si="15"/>
        <v>37356.164383561641</v>
      </c>
      <c r="R58" s="35">
        <f t="shared" si="18"/>
        <v>39533.282434090972</v>
      </c>
      <c r="S58" s="21">
        <f>-SUMIF($O$2:$O$28,O58,$P$2:$P$28)</f>
        <v>-1350000</v>
      </c>
      <c r="T58" s="45">
        <f t="shared" si="9"/>
        <v>-29781969.675243363</v>
      </c>
      <c r="U58" s="1">
        <f t="shared" si="11"/>
        <v>-29949164.383698601</v>
      </c>
      <c r="Y58" s="46" t="s">
        <v>35</v>
      </c>
      <c r="Z58" s="30">
        <v>45239</v>
      </c>
      <c r="AA58" s="22">
        <f t="shared" si="7"/>
        <v>9</v>
      </c>
      <c r="AB58" s="21">
        <f>-$AF$32*$AD$2/365*AA58+308.22</f>
        <v>35815.069315068497</v>
      </c>
      <c r="AC58" s="35">
        <f t="shared" si="20"/>
        <v>37659.511931851506</v>
      </c>
      <c r="AD58" s="21">
        <f t="shared" si="13"/>
        <v>-1350000</v>
      </c>
      <c r="AE58" s="45">
        <f t="shared" si="21"/>
        <v>-29754945.782588527</v>
      </c>
      <c r="AF58" s="1">
        <f t="shared" si="12"/>
        <v>-29922349.316027377</v>
      </c>
      <c r="AG58" s="482" t="s">
        <v>1600</v>
      </c>
      <c r="AH58" s="481">
        <v>6.0499999999999998E-3</v>
      </c>
      <c r="AI58" t="s">
        <v>1609</v>
      </c>
    </row>
    <row r="59" spans="1:37" s="58" customFormat="1" x14ac:dyDescent="0.3">
      <c r="A59" s="53" t="s">
        <v>35</v>
      </c>
      <c r="B59" s="54">
        <v>45291</v>
      </c>
      <c r="C59" s="55">
        <f t="shared" si="4"/>
        <v>31</v>
      </c>
      <c r="D59" s="56">
        <f t="shared" si="0"/>
        <v>2547.9452054794519</v>
      </c>
      <c r="E59" s="69">
        <f t="shared" si="14"/>
        <v>7113.2786180637777</v>
      </c>
      <c r="F59" s="56">
        <f t="shared" si="1"/>
        <v>7561.6438356164399</v>
      </c>
      <c r="G59" s="476">
        <f t="shared" si="5"/>
        <v>-29844893.525538091</v>
      </c>
      <c r="H59" s="11">
        <f t="shared" si="8"/>
        <v>-30000000.000000022</v>
      </c>
      <c r="J59" s="402"/>
      <c r="N59" s="53" t="s">
        <v>35</v>
      </c>
      <c r="O59" s="54">
        <v>45291</v>
      </c>
      <c r="P59" s="55">
        <f t="shared" si="6"/>
        <v>52</v>
      </c>
      <c r="Q59" s="56">
        <f t="shared" si="15"/>
        <v>215835.61643835617</v>
      </c>
      <c r="R59" s="69">
        <f t="shared" si="18"/>
        <v>219453.04563318565</v>
      </c>
      <c r="S59" s="56">
        <f>-SUMIF($O$2:$O$28,O59,$P$2:$P$28)</f>
        <v>-165000</v>
      </c>
      <c r="T59" s="476">
        <f t="shared" si="9"/>
        <v>-29836422.720876548</v>
      </c>
      <c r="U59" s="11">
        <f t="shared" si="11"/>
        <v>-30000000.000136957</v>
      </c>
      <c r="Y59" s="53" t="s">
        <v>35</v>
      </c>
      <c r="Z59" s="54">
        <v>45291</v>
      </c>
      <c r="AA59" s="55">
        <f t="shared" si="7"/>
        <v>52</v>
      </c>
      <c r="AB59" s="401">
        <f t="shared" si="19"/>
        <v>205150.68493150687</v>
      </c>
      <c r="AC59" s="69">
        <f t="shared" si="20"/>
        <v>209001.34943526983</v>
      </c>
      <c r="AD59" s="56">
        <f t="shared" si="13"/>
        <v>-127500</v>
      </c>
      <c r="AE59" s="476">
        <f t="shared" si="21"/>
        <v>-29836447.132023796</v>
      </c>
      <c r="AF59" s="11">
        <f t="shared" si="12"/>
        <v>-30000000.000958882</v>
      </c>
      <c r="AH59" s="402">
        <f>AE59*AH58</f>
        <v>-180510.50514874395</v>
      </c>
      <c r="AI59" s="402">
        <f>AE59-AH59</f>
        <v>-29655936.626875054</v>
      </c>
    </row>
    <row r="60" spans="1:37" x14ac:dyDescent="0.3">
      <c r="A60" s="46" t="s">
        <v>35</v>
      </c>
      <c r="B60" s="30">
        <v>45322</v>
      </c>
      <c r="C60" s="22">
        <f t="shared" si="4"/>
        <v>31</v>
      </c>
      <c r="D60" s="21">
        <f t="shared" si="0"/>
        <v>2547.9452054794519</v>
      </c>
      <c r="E60" s="35">
        <f t="shared" si="14"/>
        <v>7113.1717556007206</v>
      </c>
      <c r="F60" s="21">
        <f t="shared" si="1"/>
        <v>0</v>
      </c>
      <c r="G60" s="45">
        <f t="shared" si="5"/>
        <v>-29852006.697293691</v>
      </c>
      <c r="H60" s="1">
        <f t="shared" si="8"/>
        <v>-30002547.945205502</v>
      </c>
      <c r="J60" s="65"/>
      <c r="N60" s="46" t="s">
        <v>35</v>
      </c>
      <c r="O60" s="30">
        <v>45322</v>
      </c>
      <c r="P60" s="22">
        <f t="shared" si="6"/>
        <v>31</v>
      </c>
      <c r="Q60" s="21">
        <f t="shared" ref="Q60:Q71" si="22">-$H$32*$S$2/366*P60</f>
        <v>128319.67213114753</v>
      </c>
      <c r="R60" s="35">
        <f t="shared" si="18"/>
        <v>130872.6360937804</v>
      </c>
      <c r="S60" s="21">
        <f t="shared" ref="S60:S68" si="23">SUMIF($O$2:$O$28,O60,$P$2:$P$28)</f>
        <v>0</v>
      </c>
      <c r="T60" s="45">
        <f t="shared" si="9"/>
        <v>-29967295.356970329</v>
      </c>
      <c r="U60" s="1">
        <f t="shared" si="11"/>
        <v>-30128319.672268104</v>
      </c>
      <c r="Y60" s="46" t="s">
        <v>35</v>
      </c>
      <c r="Z60" s="30">
        <v>45322</v>
      </c>
      <c r="AA60" s="22">
        <f t="shared" si="7"/>
        <v>31</v>
      </c>
      <c r="AB60" s="21">
        <f t="shared" si="19"/>
        <v>122301.36986301371</v>
      </c>
      <c r="AC60" s="35">
        <f t="shared" si="20"/>
        <v>124761.61700031534</v>
      </c>
      <c r="AD60" s="21">
        <f t="shared" si="13"/>
        <v>0</v>
      </c>
      <c r="AE60" s="45">
        <f t="shared" si="21"/>
        <v>-29961208.749024112</v>
      </c>
      <c r="AF60" s="1">
        <f t="shared" si="12"/>
        <v>-30122301.370821897</v>
      </c>
      <c r="AI60" s="483">
        <f>AE59-'půjčka výpočet'!O14-'půjčka výpočet'!O19</f>
        <v>-29919604.672023799</v>
      </c>
    </row>
    <row r="61" spans="1:37" x14ac:dyDescent="0.3">
      <c r="A61" s="46" t="s">
        <v>35</v>
      </c>
      <c r="B61" s="30">
        <v>45351</v>
      </c>
      <c r="C61" s="22">
        <f t="shared" si="4"/>
        <v>29</v>
      </c>
      <c r="D61" s="21">
        <f t="shared" si="0"/>
        <v>2383.5616438356165</v>
      </c>
      <c r="E61" s="35">
        <f t="shared" si="14"/>
        <v>6655.7922431528568</v>
      </c>
      <c r="F61" s="21">
        <f t="shared" si="1"/>
        <v>0</v>
      </c>
      <c r="G61" s="45">
        <f t="shared" si="5"/>
        <v>-29858662.489536844</v>
      </c>
      <c r="H61" s="1">
        <f t="shared" si="8"/>
        <v>-30004931.506849337</v>
      </c>
      <c r="J61" s="65"/>
      <c r="N61" s="46" t="s">
        <v>35</v>
      </c>
      <c r="O61" s="30">
        <v>45351</v>
      </c>
      <c r="P61" s="22">
        <v>29</v>
      </c>
      <c r="Q61" s="21">
        <f t="shared" si="22"/>
        <v>120040.98360655736</v>
      </c>
      <c r="R61" s="35">
        <f t="shared" si="18"/>
        <v>122948.88418758288</v>
      </c>
      <c r="S61" s="21">
        <f t="shared" si="23"/>
        <v>0</v>
      </c>
      <c r="T61" s="45">
        <f t="shared" si="9"/>
        <v>-30090244.241157912</v>
      </c>
      <c r="U61" s="1">
        <f t="shared" si="11"/>
        <v>-30248360.655874662</v>
      </c>
      <c r="Y61" s="46" t="s">
        <v>35</v>
      </c>
      <c r="Z61" s="30">
        <v>45351</v>
      </c>
      <c r="AA61" s="22">
        <v>28</v>
      </c>
      <c r="AB61" s="21">
        <f t="shared" si="19"/>
        <v>110465.75342465754</v>
      </c>
      <c r="AC61" s="35">
        <f t="shared" si="20"/>
        <v>113136.25784561411</v>
      </c>
      <c r="AD61" s="21">
        <f t="shared" si="13"/>
        <v>0</v>
      </c>
      <c r="AE61" s="45">
        <f t="shared" si="21"/>
        <v>-30074345.006869726</v>
      </c>
      <c r="AF61" s="1">
        <f t="shared" si="12"/>
        <v>-30232767.124246556</v>
      </c>
    </row>
    <row r="62" spans="1:37" x14ac:dyDescent="0.3">
      <c r="A62" s="46" t="s">
        <v>35</v>
      </c>
      <c r="B62" s="30">
        <v>45382</v>
      </c>
      <c r="C62" s="22">
        <f t="shared" si="4"/>
        <v>31</v>
      </c>
      <c r="D62" s="21">
        <f t="shared" si="0"/>
        <v>2547.9452054794519</v>
      </c>
      <c r="E62" s="35">
        <f t="shared" si="14"/>
        <v>7116.4534227214754</v>
      </c>
      <c r="F62" s="21">
        <f t="shared" si="1"/>
        <v>7479.4520547945203</v>
      </c>
      <c r="G62" s="45">
        <f t="shared" si="5"/>
        <v>-29858299.490904771</v>
      </c>
      <c r="H62" s="1">
        <f t="shared" si="8"/>
        <v>-30000000.000000022</v>
      </c>
      <c r="J62" s="65"/>
      <c r="N62" s="46" t="s">
        <v>35</v>
      </c>
      <c r="O62" s="30">
        <v>45382</v>
      </c>
      <c r="P62" s="22">
        <f t="shared" si="6"/>
        <v>31</v>
      </c>
      <c r="Q62" s="21">
        <f t="shared" si="22"/>
        <v>128319.67213114753</v>
      </c>
      <c r="R62" s="35">
        <f t="shared" si="18"/>
        <v>131985.9830847159</v>
      </c>
      <c r="S62" s="21">
        <f t="shared" si="23"/>
        <v>0</v>
      </c>
      <c r="T62" s="45">
        <f t="shared" si="9"/>
        <v>-30222230.224242628</v>
      </c>
      <c r="U62" s="1">
        <f t="shared" si="11"/>
        <v>-30376680.328005809</v>
      </c>
      <c r="Y62" s="46" t="s">
        <v>35</v>
      </c>
      <c r="Z62" s="30">
        <v>45382</v>
      </c>
      <c r="AA62" s="22">
        <f t="shared" ref="AA62:AA95" si="24">Z62-Z61</f>
        <v>31</v>
      </c>
      <c r="AB62" s="21">
        <f t="shared" si="19"/>
        <v>122301.36986301371</v>
      </c>
      <c r="AC62" s="35">
        <f t="shared" si="20"/>
        <v>125756.3910568729</v>
      </c>
      <c r="AD62" s="21">
        <f t="shared" si="13"/>
        <v>0</v>
      </c>
      <c r="AE62" s="45">
        <f t="shared" si="21"/>
        <v>-30200101.397926599</v>
      </c>
      <c r="AF62" s="1">
        <f t="shared" si="12"/>
        <v>-30355068.494109571</v>
      </c>
    </row>
    <row r="63" spans="1:37" x14ac:dyDescent="0.3">
      <c r="A63" s="46" t="s">
        <v>35</v>
      </c>
      <c r="B63" s="30">
        <v>45412</v>
      </c>
      <c r="C63" s="22">
        <f t="shared" si="4"/>
        <v>30</v>
      </c>
      <c r="D63" s="21">
        <f t="shared" si="0"/>
        <v>2465.7534246575342</v>
      </c>
      <c r="E63" s="35">
        <f t="shared" si="14"/>
        <v>6886.7802117504179</v>
      </c>
      <c r="F63" s="21">
        <f t="shared" si="1"/>
        <v>0</v>
      </c>
      <c r="G63" s="45">
        <f t="shared" si="5"/>
        <v>-29865186.271116521</v>
      </c>
      <c r="H63" s="1">
        <f t="shared" si="8"/>
        <v>-30002465.753424682</v>
      </c>
      <c r="J63" s="65"/>
      <c r="N63" s="46" t="s">
        <v>35</v>
      </c>
      <c r="O63" s="30">
        <v>45412</v>
      </c>
      <c r="P63" s="22">
        <f t="shared" si="6"/>
        <v>30</v>
      </c>
      <c r="Q63" s="21">
        <f t="shared" si="22"/>
        <v>124180.32786885244</v>
      </c>
      <c r="R63" s="35">
        <f t="shared" si="18"/>
        <v>128279.56812142581</v>
      </c>
      <c r="S63" s="21">
        <f t="shared" si="23"/>
        <v>0</v>
      </c>
      <c r="T63" s="45">
        <f t="shared" si="9"/>
        <v>-30350509.792364053</v>
      </c>
      <c r="U63" s="1">
        <f t="shared" si="11"/>
        <v>-30500860.655874662</v>
      </c>
      <c r="Y63" s="46" t="s">
        <v>35</v>
      </c>
      <c r="Z63" s="30">
        <v>45412</v>
      </c>
      <c r="AA63" s="22">
        <f t="shared" si="24"/>
        <v>30</v>
      </c>
      <c r="AB63" s="21">
        <f t="shared" si="19"/>
        <v>118356.16438356166</v>
      </c>
      <c r="AC63" s="35">
        <f t="shared" si="20"/>
        <v>122200.3924260363</v>
      </c>
      <c r="AD63" s="21">
        <f t="shared" si="13"/>
        <v>0</v>
      </c>
      <c r="AE63" s="45">
        <f t="shared" si="21"/>
        <v>-30322301.790352635</v>
      </c>
      <c r="AF63" s="1">
        <f t="shared" si="12"/>
        <v>-30473424.658493131</v>
      </c>
    </row>
    <row r="64" spans="1:37" x14ac:dyDescent="0.3">
      <c r="A64" s="46" t="s">
        <v>35</v>
      </c>
      <c r="B64" s="30">
        <v>45443</v>
      </c>
      <c r="C64" s="22">
        <f t="shared" si="4"/>
        <v>31</v>
      </c>
      <c r="D64" s="21">
        <f t="shared" si="0"/>
        <v>2547.9452054794519</v>
      </c>
      <c r="E64" s="35">
        <f t="shared" si="14"/>
        <v>7118.0082876719534</v>
      </c>
      <c r="F64" s="21">
        <f t="shared" si="1"/>
        <v>0</v>
      </c>
      <c r="G64" s="45">
        <f t="shared" si="5"/>
        <v>-29872304.279404193</v>
      </c>
      <c r="H64" s="1">
        <f t="shared" si="8"/>
        <v>-30005013.698630162</v>
      </c>
      <c r="J64" s="65"/>
      <c r="N64" s="46" t="s">
        <v>35</v>
      </c>
      <c r="O64" s="30">
        <v>45443</v>
      </c>
      <c r="P64" s="22">
        <f t="shared" si="6"/>
        <v>31</v>
      </c>
      <c r="Q64" s="21">
        <f t="shared" si="22"/>
        <v>128319.67213114753</v>
      </c>
      <c r="R64" s="35">
        <f t="shared" si="18"/>
        <v>133127.59577365592</v>
      </c>
      <c r="S64" s="21">
        <f t="shared" si="23"/>
        <v>0</v>
      </c>
      <c r="T64" s="45">
        <f t="shared" si="9"/>
        <v>-30483637.388137709</v>
      </c>
      <c r="U64" s="1">
        <f t="shared" si="11"/>
        <v>-30629180.328005809</v>
      </c>
      <c r="Y64" s="46" t="s">
        <v>35</v>
      </c>
      <c r="Z64" s="30">
        <v>45443</v>
      </c>
      <c r="AA64" s="22">
        <f t="shared" si="24"/>
        <v>31</v>
      </c>
      <c r="AB64" s="21">
        <f t="shared" si="19"/>
        <v>122301.36986301371</v>
      </c>
      <c r="AC64" s="35">
        <f t="shared" si="20"/>
        <v>126793.22661295161</v>
      </c>
      <c r="AD64" s="21">
        <f t="shared" si="13"/>
        <v>0</v>
      </c>
      <c r="AE64" s="45">
        <f t="shared" si="21"/>
        <v>-30449095.016965587</v>
      </c>
      <c r="AF64" s="1">
        <f t="shared" si="12"/>
        <v>-30595726.028356146</v>
      </c>
    </row>
    <row r="65" spans="1:37" s="437" customFormat="1" x14ac:dyDescent="0.3">
      <c r="A65" s="326" t="s">
        <v>35</v>
      </c>
      <c r="B65" s="327">
        <v>45473</v>
      </c>
      <c r="C65" s="328">
        <f t="shared" si="4"/>
        <v>30</v>
      </c>
      <c r="D65" s="329">
        <f t="shared" si="0"/>
        <v>2465.7534246575342</v>
      </c>
      <c r="E65" s="330">
        <f t="shared" si="14"/>
        <v>6890.0103990696371</v>
      </c>
      <c r="F65" s="329">
        <f t="shared" si="1"/>
        <v>7479.4520547945203</v>
      </c>
      <c r="G65" s="331">
        <f t="shared" si="5"/>
        <v>-29871714.837748468</v>
      </c>
      <c r="H65" s="332">
        <f t="shared" si="8"/>
        <v>-30000000.000000026</v>
      </c>
      <c r="J65" s="477"/>
      <c r="N65" s="326" t="s">
        <v>35</v>
      </c>
      <c r="O65" s="327">
        <v>45473</v>
      </c>
      <c r="P65" s="328">
        <f t="shared" si="6"/>
        <v>30</v>
      </c>
      <c r="Q65" s="329">
        <f t="shared" si="22"/>
        <v>124180.32786885244</v>
      </c>
      <c r="R65" s="330">
        <f t="shared" si="18"/>
        <v>129389.12217615545</v>
      </c>
      <c r="S65" s="329">
        <f t="shared" si="23"/>
        <v>0</v>
      </c>
      <c r="T65" s="331">
        <f t="shared" si="9"/>
        <v>-30613026.510313865</v>
      </c>
      <c r="U65" s="332">
        <f t="shared" si="11"/>
        <v>-30753360.655874662</v>
      </c>
      <c r="Y65" s="326" t="s">
        <v>35</v>
      </c>
      <c r="Z65" s="327">
        <v>45473</v>
      </c>
      <c r="AA65" s="328">
        <f t="shared" si="24"/>
        <v>30</v>
      </c>
      <c r="AB65" s="330">
        <f t="shared" si="19"/>
        <v>118356.16438356166</v>
      </c>
      <c r="AC65" s="330">
        <f t="shared" si="20"/>
        <v>123207.90950543806</v>
      </c>
      <c r="AD65" s="329">
        <f t="shared" si="13"/>
        <v>0</v>
      </c>
      <c r="AE65" s="331">
        <f t="shared" si="21"/>
        <v>-30572302.926471025</v>
      </c>
      <c r="AF65" s="332">
        <f t="shared" si="12"/>
        <v>-30714082.192739706</v>
      </c>
      <c r="AH65" s="478"/>
      <c r="AI65" s="479"/>
      <c r="AJ65" s="477"/>
      <c r="AK65" s="477"/>
    </row>
    <row r="66" spans="1:37" x14ac:dyDescent="0.3">
      <c r="A66" s="46" t="s">
        <v>35</v>
      </c>
      <c r="B66" s="30">
        <v>45504</v>
      </c>
      <c r="C66" s="22">
        <f t="shared" si="4"/>
        <v>31</v>
      </c>
      <c r="D66" s="21">
        <f t="shared" si="0"/>
        <v>2547.9452054794519</v>
      </c>
      <c r="E66" s="35">
        <f t="shared" si="14"/>
        <v>7119.5642930790782</v>
      </c>
      <c r="F66" s="21">
        <f t="shared" si="1"/>
        <v>0</v>
      </c>
      <c r="G66" s="45">
        <f t="shared" si="5"/>
        <v>-29878834.402041547</v>
      </c>
      <c r="H66" s="1">
        <f t="shared" si="8"/>
        <v>-30002547.945205506</v>
      </c>
      <c r="J66" s="65"/>
      <c r="N66" s="46" t="s">
        <v>35</v>
      </c>
      <c r="O66" s="30">
        <v>45504</v>
      </c>
      <c r="P66" s="22">
        <f t="shared" si="6"/>
        <v>31</v>
      </c>
      <c r="Q66" s="21">
        <f t="shared" si="22"/>
        <v>128319.67213114753</v>
      </c>
      <c r="R66" s="35">
        <f t="shared" si="18"/>
        <v>134279.08284093067</v>
      </c>
      <c r="S66" s="21">
        <f t="shared" si="23"/>
        <v>0</v>
      </c>
      <c r="T66" s="45">
        <f t="shared" si="9"/>
        <v>-30747305.593154795</v>
      </c>
      <c r="U66" s="1">
        <f t="shared" si="11"/>
        <v>-30881680.328005809</v>
      </c>
      <c r="Y66" s="46" t="s">
        <v>35</v>
      </c>
      <c r="Z66" s="30">
        <v>45504</v>
      </c>
      <c r="AA66" s="22">
        <f t="shared" si="24"/>
        <v>31</v>
      </c>
      <c r="AB66" s="21">
        <f t="shared" si="19"/>
        <v>122301.36986301371</v>
      </c>
      <c r="AC66" s="35">
        <f t="shared" si="20"/>
        <v>127838.61066474393</v>
      </c>
      <c r="AD66" s="21">
        <f t="shared" si="13"/>
        <v>0</v>
      </c>
      <c r="AE66" s="45">
        <f t="shared" si="21"/>
        <v>-30700141.537135769</v>
      </c>
      <c r="AF66" s="1">
        <f t="shared" si="12"/>
        <v>-30836383.562602721</v>
      </c>
    </row>
    <row r="67" spans="1:37" x14ac:dyDescent="0.3">
      <c r="A67" s="46" t="s">
        <v>35</v>
      </c>
      <c r="B67" s="30">
        <v>45535</v>
      </c>
      <c r="C67" s="22">
        <f t="shared" si="4"/>
        <v>31</v>
      </c>
      <c r="D67" s="21">
        <f t="shared" si="0"/>
        <v>2547.9452054794519</v>
      </c>
      <c r="E67" s="35">
        <f t="shared" si="14"/>
        <v>7121.261155679822</v>
      </c>
      <c r="F67" s="21">
        <f t="shared" si="1"/>
        <v>0</v>
      </c>
      <c r="G67" s="45">
        <f t="shared" si="5"/>
        <v>-29885955.663197227</v>
      </c>
      <c r="H67" s="1">
        <f t="shared" si="8"/>
        <v>-30005095.890410986</v>
      </c>
      <c r="J67" s="65"/>
      <c r="N67" s="46" t="s">
        <v>35</v>
      </c>
      <c r="O67" s="30">
        <v>45535</v>
      </c>
      <c r="P67" s="22">
        <f t="shared" si="6"/>
        <v>31</v>
      </c>
      <c r="Q67" s="21">
        <f t="shared" si="22"/>
        <v>128319.67213114753</v>
      </c>
      <c r="R67" s="35">
        <f t="shared" si="18"/>
        <v>134868.07629058138</v>
      </c>
      <c r="S67" s="21">
        <f t="shared" si="23"/>
        <v>0</v>
      </c>
      <c r="T67" s="45">
        <f t="shared" si="9"/>
        <v>-30882173.669445377</v>
      </c>
      <c r="U67" s="1">
        <f t="shared" si="11"/>
        <v>-31010000.000136957</v>
      </c>
      <c r="Y67" s="46" t="s">
        <v>35</v>
      </c>
      <c r="Z67" s="30">
        <v>45535</v>
      </c>
      <c r="AA67" s="22">
        <f t="shared" si="24"/>
        <v>31</v>
      </c>
      <c r="AB67" s="21">
        <f t="shared" si="19"/>
        <v>122301.36986301371</v>
      </c>
      <c r="AC67" s="35">
        <f t="shared" si="20"/>
        <v>128373.17001462355</v>
      </c>
      <c r="AD67" s="21">
        <f t="shared" si="13"/>
        <v>0</v>
      </c>
      <c r="AE67" s="45">
        <f t="shared" si="21"/>
        <v>-30828514.707150392</v>
      </c>
      <c r="AF67" s="1">
        <f t="shared" si="12"/>
        <v>-30958684.932465736</v>
      </c>
    </row>
    <row r="68" spans="1:37" x14ac:dyDescent="0.3">
      <c r="A68" s="46" t="s">
        <v>35</v>
      </c>
      <c r="B68" s="30">
        <v>45565</v>
      </c>
      <c r="C68" s="22">
        <f t="shared" si="4"/>
        <v>30</v>
      </c>
      <c r="D68" s="21">
        <f t="shared" si="0"/>
        <v>2465.7534246575342</v>
      </c>
      <c r="E68" s="35">
        <f t="shared" si="14"/>
        <v>6893.159074023366</v>
      </c>
      <c r="F68" s="21">
        <f t="shared" si="1"/>
        <v>7561.6438356164399</v>
      </c>
      <c r="G68" s="45">
        <f t="shared" si="5"/>
        <v>-29885287.178435635</v>
      </c>
      <c r="H68" s="1">
        <f t="shared" si="8"/>
        <v>-30000000.00000003</v>
      </c>
      <c r="J68" s="65"/>
      <c r="N68" s="46" t="s">
        <v>35</v>
      </c>
      <c r="O68" s="30">
        <v>45565</v>
      </c>
      <c r="P68" s="22">
        <f t="shared" si="6"/>
        <v>30</v>
      </c>
      <c r="Q68" s="21">
        <f t="shared" si="22"/>
        <v>124180.32786885244</v>
      </c>
      <c r="R68" s="35">
        <f t="shared" si="18"/>
        <v>131080.72672246397</v>
      </c>
      <c r="S68" s="21">
        <f t="shared" si="23"/>
        <v>0</v>
      </c>
      <c r="T68" s="45">
        <f t="shared" si="9"/>
        <v>-31013254.396167841</v>
      </c>
      <c r="U68" s="1">
        <f t="shared" si="11"/>
        <v>-31134180.328005809</v>
      </c>
      <c r="Y68" s="46" t="s">
        <v>35</v>
      </c>
      <c r="Z68" s="30">
        <v>45565</v>
      </c>
      <c r="AA68" s="22">
        <f t="shared" si="24"/>
        <v>30</v>
      </c>
      <c r="AB68" s="21">
        <f t="shared" si="19"/>
        <v>118356.16438356166</v>
      </c>
      <c r="AC68" s="35">
        <f t="shared" si="20"/>
        <v>124743.17703397572</v>
      </c>
      <c r="AD68" s="21">
        <f t="shared" si="13"/>
        <v>0</v>
      </c>
      <c r="AE68" s="45">
        <f t="shared" si="21"/>
        <v>-30953257.884184368</v>
      </c>
      <c r="AF68" s="1">
        <f t="shared" si="12"/>
        <v>-31077041.096849296</v>
      </c>
    </row>
    <row r="69" spans="1:37" x14ac:dyDescent="0.3">
      <c r="A69" s="46" t="s">
        <v>35</v>
      </c>
      <c r="B69" s="30">
        <v>45596</v>
      </c>
      <c r="C69" s="22">
        <f t="shared" si="4"/>
        <v>31</v>
      </c>
      <c r="D69" s="21">
        <f t="shared" si="0"/>
        <v>2547.9452054794519</v>
      </c>
      <c r="E69" s="35">
        <f t="shared" si="14"/>
        <v>7122.7990974001586</v>
      </c>
      <c r="F69" s="21">
        <f t="shared" si="1"/>
        <v>0</v>
      </c>
      <c r="G69" s="45">
        <f t="shared" si="5"/>
        <v>-29892409.977533035</v>
      </c>
      <c r="H69" s="1">
        <f t="shared" si="8"/>
        <v>-30002547.94520551</v>
      </c>
      <c r="J69" s="65"/>
      <c r="N69" s="46" t="s">
        <v>35</v>
      </c>
      <c r="O69" s="30">
        <v>45605</v>
      </c>
      <c r="P69" s="22">
        <f t="shared" si="6"/>
        <v>40</v>
      </c>
      <c r="Q69" s="21">
        <f t="shared" si="22"/>
        <v>165573.77049180327</v>
      </c>
      <c r="R69" s="35">
        <f t="shared" si="18"/>
        <v>175640.18681265414</v>
      </c>
      <c r="S69" s="21">
        <f>-SUMIF($O$2:$O$28,O69,$P$2:$P$28)</f>
        <v>-1350000</v>
      </c>
      <c r="T69" s="45">
        <f t="shared" si="9"/>
        <v>-29838894.582980495</v>
      </c>
      <c r="U69" s="1">
        <f t="shared" si="11"/>
        <v>-29949754.098497614</v>
      </c>
      <c r="Y69" s="46" t="s">
        <v>35</v>
      </c>
      <c r="Z69" s="30">
        <v>45605</v>
      </c>
      <c r="AA69" s="22">
        <f t="shared" si="24"/>
        <v>40</v>
      </c>
      <c r="AB69" s="21">
        <f t="shared" si="19"/>
        <v>157808.21917808219</v>
      </c>
      <c r="AC69" s="35">
        <f t="shared" si="20"/>
        <v>167109.76393283531</v>
      </c>
      <c r="AD69" s="21">
        <f t="shared" si="13"/>
        <v>-1350000</v>
      </c>
      <c r="AE69" s="45">
        <f t="shared" si="21"/>
        <v>-29770367.648117203</v>
      </c>
      <c r="AF69" s="1">
        <f t="shared" si="12"/>
        <v>-29884849.316027377</v>
      </c>
    </row>
    <row r="70" spans="1:37" x14ac:dyDescent="0.3">
      <c r="A70" s="46" t="s">
        <v>35</v>
      </c>
      <c r="B70" s="30">
        <v>45626</v>
      </c>
      <c r="C70" s="22">
        <f t="shared" si="4"/>
        <v>30</v>
      </c>
      <c r="D70" s="21">
        <f t="shared" si="0"/>
        <v>2465.7534246575342</v>
      </c>
      <c r="E70" s="35">
        <f t="shared" si="14"/>
        <v>6894.6477537192404</v>
      </c>
      <c r="F70" s="21">
        <f t="shared" si="1"/>
        <v>0</v>
      </c>
      <c r="G70" s="45">
        <f t="shared" si="5"/>
        <v>-29899304.625286754</v>
      </c>
      <c r="H70" s="1">
        <f t="shared" si="8"/>
        <v>-30005013.698630169</v>
      </c>
      <c r="J70" s="65"/>
      <c r="N70" s="46" t="s">
        <v>35</v>
      </c>
      <c r="O70" s="30">
        <v>45626</v>
      </c>
      <c r="P70" s="22">
        <f t="shared" si="6"/>
        <v>21</v>
      </c>
      <c r="Q70" s="21">
        <f t="shared" si="22"/>
        <v>86926.229508196717</v>
      </c>
      <c r="R70" s="35">
        <f t="shared" si="18"/>
        <v>88600.395808748901</v>
      </c>
      <c r="S70" s="21">
        <f>SUMIF($O$2:$O$28,O70,$P$2:$P$28)</f>
        <v>0</v>
      </c>
      <c r="T70" s="45">
        <f t="shared" si="9"/>
        <v>-29927494.978789244</v>
      </c>
      <c r="U70" s="1">
        <f t="shared" si="11"/>
        <v>-30036680.328005809</v>
      </c>
      <c r="Y70" s="46" t="s">
        <v>35</v>
      </c>
      <c r="Z70" s="30">
        <v>45626</v>
      </c>
      <c r="AA70" s="22">
        <f t="shared" si="24"/>
        <v>21</v>
      </c>
      <c r="AB70" s="21">
        <f t="shared" si="19"/>
        <v>82849.315068493161</v>
      </c>
      <c r="AC70" s="35">
        <f t="shared" si="20"/>
        <v>84271.984716191888</v>
      </c>
      <c r="AD70" s="21">
        <f t="shared" si="13"/>
        <v>0</v>
      </c>
      <c r="AE70" s="45">
        <f t="shared" si="21"/>
        <v>-29854639.632833395</v>
      </c>
      <c r="AF70" s="1">
        <f t="shared" si="12"/>
        <v>-29967698.631095871</v>
      </c>
    </row>
    <row r="71" spans="1:37" x14ac:dyDescent="0.3">
      <c r="A71" s="46" t="s">
        <v>35</v>
      </c>
      <c r="B71" s="30">
        <v>45657</v>
      </c>
      <c r="C71" s="22">
        <f t="shared" si="4"/>
        <v>31</v>
      </c>
      <c r="D71" s="21">
        <f t="shared" si="0"/>
        <v>2547.9452054794519</v>
      </c>
      <c r="E71" s="35">
        <f t="shared" si="14"/>
        <v>7126.1399874202907</v>
      </c>
      <c r="F71" s="21">
        <f t="shared" si="1"/>
        <v>7561.6438356164399</v>
      </c>
      <c r="G71" s="45">
        <f t="shared" si="5"/>
        <v>-29898869.121438559</v>
      </c>
      <c r="H71" s="1">
        <f t="shared" si="8"/>
        <v>-30000000.000000034</v>
      </c>
      <c r="J71" s="65"/>
      <c r="N71" s="46" t="s">
        <v>35</v>
      </c>
      <c r="O71" s="30">
        <v>45657</v>
      </c>
      <c r="P71" s="22">
        <f t="shared" si="6"/>
        <v>31</v>
      </c>
      <c r="Q71" s="21">
        <f t="shared" si="22"/>
        <v>128319.67213114753</v>
      </c>
      <c r="R71" s="35">
        <f t="shared" si="18"/>
        <v>131272.10980346799</v>
      </c>
      <c r="S71" s="21">
        <f>-SUMIF($O$2:$O$28,O71,$P$2:$P$28)</f>
        <v>-165000</v>
      </c>
      <c r="T71" s="45">
        <f t="shared" si="9"/>
        <v>-29893767.088592712</v>
      </c>
      <c r="U71" s="11">
        <f t="shared" si="11"/>
        <v>-30000000.000136957</v>
      </c>
      <c r="Y71" s="53" t="s">
        <v>35</v>
      </c>
      <c r="Z71" s="54">
        <v>45657</v>
      </c>
      <c r="AA71" s="55">
        <f t="shared" si="24"/>
        <v>31</v>
      </c>
      <c r="AB71" s="21">
        <f t="shared" si="19"/>
        <v>122301.36986301371</v>
      </c>
      <c r="AC71" s="69">
        <f t="shared" si="20"/>
        <v>124837.68925544247</v>
      </c>
      <c r="AD71" s="21">
        <f t="shared" si="13"/>
        <v>-90000</v>
      </c>
      <c r="AE71" s="45">
        <f t="shared" si="21"/>
        <v>-29889477.322088838</v>
      </c>
      <c r="AF71" s="11">
        <f t="shared" si="12"/>
        <v>-30000000.000958886</v>
      </c>
    </row>
    <row r="72" spans="1:37" x14ac:dyDescent="0.3">
      <c r="A72" s="46" t="s">
        <v>35</v>
      </c>
      <c r="B72" s="30">
        <v>45688</v>
      </c>
      <c r="C72" s="22">
        <f t="shared" si="4"/>
        <v>31</v>
      </c>
      <c r="D72" s="21">
        <f t="shared" si="0"/>
        <v>2547.9452054794519</v>
      </c>
      <c r="E72" s="35">
        <f t="shared" si="14"/>
        <v>7126.0361903123558</v>
      </c>
      <c r="F72" s="21">
        <f t="shared" si="1"/>
        <v>0</v>
      </c>
      <c r="G72" s="45">
        <f t="shared" si="5"/>
        <v>-29905995.157628872</v>
      </c>
      <c r="H72" s="1">
        <f t="shared" si="8"/>
        <v>-30002547.945205513</v>
      </c>
      <c r="J72" s="65"/>
      <c r="N72" s="46" t="s">
        <v>35</v>
      </c>
      <c r="O72" s="30">
        <v>45688</v>
      </c>
      <c r="P72" s="22">
        <f t="shared" si="6"/>
        <v>31</v>
      </c>
      <c r="Q72" s="21">
        <f t="shared" ref="Q72:Q93" si="25">-$H$32*$S$2/365*P72</f>
        <v>128671.23287671233</v>
      </c>
      <c r="R72" s="35">
        <f t="shared" si="18"/>
        <v>131124.16787553579</v>
      </c>
      <c r="S72" s="21">
        <f t="shared" ref="S72:S81" si="26">SUMIF($O$2:$O$28,O72,$P$2:$P$28)</f>
        <v>0</v>
      </c>
      <c r="T72" s="45">
        <f t="shared" si="9"/>
        <v>-30024891.256468248</v>
      </c>
      <c r="U72" s="1">
        <f t="shared" si="11"/>
        <v>-30128671.233013667</v>
      </c>
      <c r="Y72" s="46" t="s">
        <v>35</v>
      </c>
      <c r="Z72" s="30">
        <v>45688</v>
      </c>
      <c r="AA72" s="22">
        <f t="shared" si="24"/>
        <v>31</v>
      </c>
      <c r="AB72" s="21">
        <f t="shared" si="19"/>
        <v>122301.36986301371</v>
      </c>
      <c r="AC72" s="35">
        <f t="shared" si="20"/>
        <v>124983.36365242675</v>
      </c>
      <c r="AD72" s="21">
        <f t="shared" si="13"/>
        <v>0</v>
      </c>
      <c r="AE72" s="45">
        <f t="shared" si="21"/>
        <v>-30014460.685741264</v>
      </c>
      <c r="AF72" s="1">
        <f t="shared" si="12"/>
        <v>-30122301.370821901</v>
      </c>
    </row>
    <row r="73" spans="1:37" x14ac:dyDescent="0.3">
      <c r="A73" s="46" t="s">
        <v>35</v>
      </c>
      <c r="B73" s="30">
        <v>45716</v>
      </c>
      <c r="C73" s="22">
        <f t="shared" si="4"/>
        <v>28</v>
      </c>
      <c r="D73" s="21">
        <f t="shared" si="0"/>
        <v>2301.3698630136987</v>
      </c>
      <c r="E73" s="35">
        <f t="shared" si="14"/>
        <v>6437.8795889914036</v>
      </c>
      <c r="F73" s="21">
        <f t="shared" si="1"/>
        <v>0</v>
      </c>
      <c r="G73" s="45">
        <f t="shared" si="5"/>
        <v>-29912433.037217863</v>
      </c>
      <c r="H73" s="1">
        <f t="shared" si="8"/>
        <v>-30004849.315068528</v>
      </c>
      <c r="J73" s="65"/>
      <c r="N73" s="46" t="s">
        <v>35</v>
      </c>
      <c r="O73" s="30">
        <v>45716</v>
      </c>
      <c r="P73" s="22">
        <f t="shared" si="6"/>
        <v>28</v>
      </c>
      <c r="Q73" s="21">
        <f t="shared" si="25"/>
        <v>116219.17808219178</v>
      </c>
      <c r="R73" s="35">
        <f t="shared" si="18"/>
        <v>118929.02033775672</v>
      </c>
      <c r="S73" s="21">
        <f t="shared" si="26"/>
        <v>0</v>
      </c>
      <c r="T73" s="45">
        <f t="shared" si="9"/>
        <v>-30143820.276806004</v>
      </c>
      <c r="U73" s="1">
        <f t="shared" si="11"/>
        <v>-30244890.411095858</v>
      </c>
      <c r="Y73" s="46" t="s">
        <v>35</v>
      </c>
      <c r="Z73" s="30">
        <v>45716</v>
      </c>
      <c r="AA73" s="22">
        <f t="shared" si="24"/>
        <v>28</v>
      </c>
      <c r="AB73" s="21">
        <f t="shared" si="19"/>
        <v>110465.75342465754</v>
      </c>
      <c r="AC73" s="35">
        <f t="shared" si="20"/>
        <v>113337.34201727435</v>
      </c>
      <c r="AD73" s="21">
        <f t="shared" si="13"/>
        <v>0</v>
      </c>
      <c r="AE73" s="45">
        <f t="shared" si="21"/>
        <v>-30127798.027758539</v>
      </c>
      <c r="AF73" s="1">
        <f t="shared" si="12"/>
        <v>-30232767.12424656</v>
      </c>
    </row>
    <row r="74" spans="1:37" x14ac:dyDescent="0.3">
      <c r="A74" s="46" t="s">
        <v>35</v>
      </c>
      <c r="B74" s="30">
        <v>45747</v>
      </c>
      <c r="C74" s="22">
        <f t="shared" si="4"/>
        <v>31</v>
      </c>
      <c r="D74" s="21">
        <f t="shared" si="0"/>
        <v>2547.9452054794519</v>
      </c>
      <c r="E74" s="35">
        <f t="shared" si="14"/>
        <v>7129.2689866535366</v>
      </c>
      <c r="F74" s="21">
        <f t="shared" si="1"/>
        <v>7397.2602739725999</v>
      </c>
      <c r="G74" s="45">
        <f t="shared" si="5"/>
        <v>-29912165.045930542</v>
      </c>
      <c r="H74" s="1">
        <f t="shared" si="8"/>
        <v>-30000000.000000034</v>
      </c>
      <c r="J74" s="65"/>
      <c r="N74" s="46" t="s">
        <v>35</v>
      </c>
      <c r="O74" s="30">
        <v>45747</v>
      </c>
      <c r="P74" s="22">
        <f t="shared" si="6"/>
        <v>31</v>
      </c>
      <c r="Q74" s="21">
        <f t="shared" si="25"/>
        <v>128671.23287671233</v>
      </c>
      <c r="R74" s="35">
        <f t="shared" si="18"/>
        <v>132220.98568815738</v>
      </c>
      <c r="S74" s="21">
        <f t="shared" si="26"/>
        <v>0</v>
      </c>
      <c r="T74" s="45">
        <f t="shared" si="9"/>
        <v>-30276041.262494162</v>
      </c>
      <c r="U74" s="1">
        <f t="shared" si="11"/>
        <v>-30373561.643972568</v>
      </c>
      <c r="Y74" s="46" t="s">
        <v>35</v>
      </c>
      <c r="Z74" s="30">
        <v>45747</v>
      </c>
      <c r="AA74" s="22">
        <f t="shared" si="24"/>
        <v>31</v>
      </c>
      <c r="AB74" s="21">
        <f t="shared" si="19"/>
        <v>122301.36986301371</v>
      </c>
      <c r="AC74" s="35">
        <f t="shared" si="20"/>
        <v>125979.90578334406</v>
      </c>
      <c r="AD74" s="21">
        <f t="shared" si="13"/>
        <v>0</v>
      </c>
      <c r="AE74" s="45">
        <f t="shared" si="21"/>
        <v>-30253777.933541883</v>
      </c>
      <c r="AF74" s="1">
        <f t="shared" si="12"/>
        <v>-30355068.494109575</v>
      </c>
    </row>
    <row r="75" spans="1:37" x14ac:dyDescent="0.3">
      <c r="A75" s="46" t="s">
        <v>35</v>
      </c>
      <c r="B75" s="30">
        <v>45777</v>
      </c>
      <c r="C75" s="22">
        <f t="shared" si="4"/>
        <v>30</v>
      </c>
      <c r="D75" s="21">
        <f t="shared" si="0"/>
        <v>2465.7534246575342</v>
      </c>
      <c r="E75" s="35">
        <f t="shared" si="14"/>
        <v>6899.2042360529304</v>
      </c>
      <c r="F75" s="21">
        <f t="shared" si="1"/>
        <v>0</v>
      </c>
      <c r="G75" s="45">
        <f t="shared" si="5"/>
        <v>-29919064.250166595</v>
      </c>
      <c r="H75" s="1">
        <f t="shared" si="8"/>
        <v>-30002465.753424693</v>
      </c>
      <c r="J75" s="65"/>
      <c r="N75" s="46" t="s">
        <v>35</v>
      </c>
      <c r="O75" s="30">
        <v>45777</v>
      </c>
      <c r="P75" s="22">
        <f t="shared" si="6"/>
        <v>30</v>
      </c>
      <c r="Q75" s="21">
        <f t="shared" si="25"/>
        <v>124520.54794520549</v>
      </c>
      <c r="R75" s="35">
        <f t="shared" si="18"/>
        <v>128507.9714091979</v>
      </c>
      <c r="S75" s="21">
        <f t="shared" si="26"/>
        <v>0</v>
      </c>
      <c r="T75" s="45">
        <f t="shared" si="9"/>
        <v>-30404549.23390336</v>
      </c>
      <c r="U75" s="1">
        <f t="shared" si="11"/>
        <v>-30498082.191917773</v>
      </c>
      <c r="Y75" s="46" t="s">
        <v>35</v>
      </c>
      <c r="Z75" s="30">
        <v>45777</v>
      </c>
      <c r="AA75" s="22">
        <f t="shared" si="24"/>
        <v>30</v>
      </c>
      <c r="AB75" s="21">
        <f t="shared" si="19"/>
        <v>118356.16438356166</v>
      </c>
      <c r="AC75" s="35">
        <f t="shared" si="20"/>
        <v>122417.58685296401</v>
      </c>
      <c r="AD75" s="21">
        <f t="shared" si="13"/>
        <v>0</v>
      </c>
      <c r="AE75" s="45">
        <f t="shared" si="21"/>
        <v>-30376195.520394847</v>
      </c>
      <c r="AF75" s="1">
        <f t="shared" si="12"/>
        <v>-30473424.658493135</v>
      </c>
    </row>
    <row r="76" spans="1:37" x14ac:dyDescent="0.3">
      <c r="A76" s="46" t="s">
        <v>35</v>
      </c>
      <c r="B76" s="30">
        <v>45808</v>
      </c>
      <c r="C76" s="22">
        <f t="shared" si="4"/>
        <v>31</v>
      </c>
      <c r="D76" s="21">
        <f t="shared" si="0"/>
        <v>2547.9452054794519</v>
      </c>
      <c r="E76" s="35">
        <f t="shared" si="14"/>
        <v>7130.8494565784931</v>
      </c>
      <c r="F76" s="21">
        <f t="shared" si="1"/>
        <v>0</v>
      </c>
      <c r="G76" s="45">
        <f t="shared" si="5"/>
        <v>-29926195.099623173</v>
      </c>
      <c r="H76" s="1">
        <f t="shared" si="8"/>
        <v>-30005013.698630173</v>
      </c>
      <c r="J76" s="65"/>
      <c r="N76" s="46" t="s">
        <v>35</v>
      </c>
      <c r="O76" s="30">
        <v>45808</v>
      </c>
      <c r="P76" s="22">
        <f t="shared" si="6"/>
        <v>31</v>
      </c>
      <c r="Q76" s="21">
        <f t="shared" si="25"/>
        <v>128671.23287671233</v>
      </c>
      <c r="R76" s="35">
        <f t="shared" si="18"/>
        <v>133364.63103198633</v>
      </c>
      <c r="S76" s="21">
        <f t="shared" si="26"/>
        <v>0</v>
      </c>
      <c r="T76" s="45">
        <f t="shared" si="9"/>
        <v>-30537913.864935346</v>
      </c>
      <c r="U76" s="1">
        <f t="shared" si="11"/>
        <v>-30626753.424794484</v>
      </c>
      <c r="Y76" s="46" t="s">
        <v>35</v>
      </c>
      <c r="Z76" s="30">
        <v>45808</v>
      </c>
      <c r="AA76" s="22">
        <f t="shared" si="24"/>
        <v>31</v>
      </c>
      <c r="AB76" s="21">
        <f t="shared" si="19"/>
        <v>122301.36986301371</v>
      </c>
      <c r="AC76" s="35">
        <f t="shared" si="20"/>
        <v>127018.5841723308</v>
      </c>
      <c r="AD76" s="21">
        <f t="shared" si="13"/>
        <v>0</v>
      </c>
      <c r="AE76" s="45">
        <f t="shared" si="21"/>
        <v>-30503214.104567178</v>
      </c>
      <c r="AF76" s="1">
        <f t="shared" si="12"/>
        <v>-30595726.02835615</v>
      </c>
    </row>
    <row r="77" spans="1:37" x14ac:dyDescent="0.3">
      <c r="A77" s="46" t="s">
        <v>35</v>
      </c>
      <c r="B77" s="30">
        <v>45838</v>
      </c>
      <c r="C77" s="22">
        <f t="shared" si="4"/>
        <v>30</v>
      </c>
      <c r="D77" s="21">
        <f t="shared" si="0"/>
        <v>2465.7534246575342</v>
      </c>
      <c r="E77" s="35">
        <f t="shared" si="14"/>
        <v>6902.4402507543564</v>
      </c>
      <c r="F77" s="21">
        <f t="shared" si="1"/>
        <v>7479.4520547945203</v>
      </c>
      <c r="G77" s="45">
        <f t="shared" si="5"/>
        <v>-29925618.087819133</v>
      </c>
      <c r="H77" s="1">
        <f t="shared" si="8"/>
        <v>-30000000.000000037</v>
      </c>
      <c r="J77" s="65"/>
      <c r="N77" s="46" t="s">
        <v>35</v>
      </c>
      <c r="O77" s="30">
        <v>45838</v>
      </c>
      <c r="P77" s="22">
        <f t="shared" si="6"/>
        <v>30</v>
      </c>
      <c r="Q77" s="21">
        <f t="shared" si="25"/>
        <v>124520.54794520549</v>
      </c>
      <c r="R77" s="35">
        <f t="shared" si="18"/>
        <v>129619.50103804097</v>
      </c>
      <c r="S77" s="21">
        <f t="shared" si="26"/>
        <v>0</v>
      </c>
      <c r="T77" s="45">
        <f t="shared" si="9"/>
        <v>-30667533.365973387</v>
      </c>
      <c r="U77" s="1">
        <f t="shared" si="11"/>
        <v>-30751273.972739689</v>
      </c>
      <c r="Y77" s="46" t="s">
        <v>35</v>
      </c>
      <c r="Z77" s="30">
        <v>45838</v>
      </c>
      <c r="AA77" s="22">
        <f t="shared" si="24"/>
        <v>30</v>
      </c>
      <c r="AB77" s="21">
        <f t="shared" si="19"/>
        <v>118356.16438356166</v>
      </c>
      <c r="AC77" s="35">
        <f t="shared" si="20"/>
        <v>123426.8946557045</v>
      </c>
      <c r="AD77" s="21">
        <f t="shared" si="13"/>
        <v>0</v>
      </c>
      <c r="AE77" s="45">
        <f t="shared" si="21"/>
        <v>-30626640.999222882</v>
      </c>
      <c r="AF77" s="1">
        <f t="shared" si="12"/>
        <v>-30714082.19273971</v>
      </c>
    </row>
    <row r="78" spans="1:37" x14ac:dyDescent="0.3">
      <c r="A78" s="46" t="s">
        <v>35</v>
      </c>
      <c r="B78" s="30">
        <v>45869</v>
      </c>
      <c r="C78" s="22">
        <f t="shared" si="4"/>
        <v>31</v>
      </c>
      <c r="D78" s="21">
        <f t="shared" si="0"/>
        <v>2547.9452054794519</v>
      </c>
      <c r="E78" s="35">
        <f t="shared" si="14"/>
        <v>7132.4114850349724</v>
      </c>
      <c r="F78" s="21">
        <f t="shared" si="1"/>
        <v>0</v>
      </c>
      <c r="G78" s="45">
        <f t="shared" si="5"/>
        <v>-29932750.499304168</v>
      </c>
      <c r="H78" s="1">
        <f t="shared" si="8"/>
        <v>-30002547.945205517</v>
      </c>
      <c r="J78" s="65"/>
      <c r="N78" s="46" t="s">
        <v>35</v>
      </c>
      <c r="O78" s="30">
        <v>45869</v>
      </c>
      <c r="P78" s="22">
        <f t="shared" si="6"/>
        <v>31</v>
      </c>
      <c r="Q78" s="21">
        <f t="shared" si="25"/>
        <v>128671.23287671233</v>
      </c>
      <c r="R78" s="35">
        <f t="shared" si="18"/>
        <v>134518.16833559796</v>
      </c>
      <c r="S78" s="21">
        <f t="shared" si="26"/>
        <v>0</v>
      </c>
      <c r="T78" s="45">
        <f t="shared" si="9"/>
        <v>-30802051.534308985</v>
      </c>
      <c r="U78" s="1">
        <f t="shared" si="11"/>
        <v>-30879945.2056164</v>
      </c>
      <c r="Y78" s="46" t="s">
        <v>35</v>
      </c>
      <c r="Z78" s="30">
        <v>45869</v>
      </c>
      <c r="AA78" s="22">
        <f t="shared" si="24"/>
        <v>31</v>
      </c>
      <c r="AB78" s="21">
        <f t="shared" si="19"/>
        <v>122301.36986301371</v>
      </c>
      <c r="AC78" s="35">
        <f t="shared" si="20"/>
        <v>128065.82625081018</v>
      </c>
      <c r="AD78" s="21">
        <f t="shared" si="13"/>
        <v>0</v>
      </c>
      <c r="AE78" s="45">
        <f t="shared" si="21"/>
        <v>-30754706.825473692</v>
      </c>
      <c r="AF78" s="1">
        <f t="shared" si="12"/>
        <v>-30836383.562602725</v>
      </c>
    </row>
    <row r="79" spans="1:37" x14ac:dyDescent="0.3">
      <c r="A79" s="46" t="s">
        <v>35</v>
      </c>
      <c r="B79" s="30">
        <v>45900</v>
      </c>
      <c r="C79" s="22">
        <f t="shared" si="4"/>
        <v>31</v>
      </c>
      <c r="D79" s="21">
        <f t="shared" si="0"/>
        <v>2547.9452054794519</v>
      </c>
      <c r="E79" s="35">
        <f t="shared" si="14"/>
        <v>7134.1114096082747</v>
      </c>
      <c r="F79" s="21">
        <f t="shared" si="1"/>
        <v>0</v>
      </c>
      <c r="G79" s="45">
        <f t="shared" si="5"/>
        <v>-29939884.610713776</v>
      </c>
      <c r="H79" s="1">
        <f t="shared" si="8"/>
        <v>-30005095.890410997</v>
      </c>
      <c r="J79" s="65"/>
      <c r="N79" s="46" t="s">
        <v>35</v>
      </c>
      <c r="O79" s="30">
        <v>45900</v>
      </c>
      <c r="P79" s="22">
        <f t="shared" si="6"/>
        <v>31</v>
      </c>
      <c r="Q79" s="21">
        <f t="shared" si="25"/>
        <v>128671.23287671233</v>
      </c>
      <c r="R79" s="35">
        <f t="shared" si="18"/>
        <v>135108.210495051</v>
      </c>
      <c r="S79" s="21">
        <f t="shared" si="26"/>
        <v>0</v>
      </c>
      <c r="T79" s="45">
        <f t="shared" si="9"/>
        <v>-30937159.744804036</v>
      </c>
      <c r="U79" s="1">
        <f t="shared" si="11"/>
        <v>-31008616.43849311</v>
      </c>
      <c r="Y79" s="46" t="s">
        <v>35</v>
      </c>
      <c r="Z79" s="30">
        <v>45900</v>
      </c>
      <c r="AA79" s="22">
        <f t="shared" si="24"/>
        <v>31</v>
      </c>
      <c r="AB79" s="21">
        <f t="shared" si="19"/>
        <v>122301.36986301371</v>
      </c>
      <c r="AC79" s="35">
        <f t="shared" si="20"/>
        <v>128601.33570657298</v>
      </c>
      <c r="AD79" s="21">
        <f t="shared" si="13"/>
        <v>0</v>
      </c>
      <c r="AE79" s="45">
        <f t="shared" si="21"/>
        <v>-30883308.161180265</v>
      </c>
      <c r="AF79" s="1">
        <f t="shared" si="12"/>
        <v>-30958684.93246574</v>
      </c>
    </row>
    <row r="80" spans="1:37" x14ac:dyDescent="0.3">
      <c r="A80" s="46" t="s">
        <v>35</v>
      </c>
      <c r="B80" s="30">
        <v>45930</v>
      </c>
      <c r="C80" s="22">
        <f t="shared" si="4"/>
        <v>30</v>
      </c>
      <c r="D80" s="21">
        <f t="shared" si="0"/>
        <v>2465.7534246575342</v>
      </c>
      <c r="E80" s="35">
        <f t="shared" si="14"/>
        <v>6905.5977197214961</v>
      </c>
      <c r="F80" s="21">
        <f t="shared" si="1"/>
        <v>7561.6438356164399</v>
      </c>
      <c r="G80" s="45">
        <f t="shared" si="5"/>
        <v>-29939228.564597882</v>
      </c>
      <c r="H80" s="1">
        <f t="shared" si="8"/>
        <v>-30000000.000000041</v>
      </c>
      <c r="J80" s="65"/>
      <c r="N80" s="46" t="s">
        <v>35</v>
      </c>
      <c r="O80" s="30">
        <v>45930</v>
      </c>
      <c r="P80" s="22">
        <f t="shared" si="6"/>
        <v>30</v>
      </c>
      <c r="Q80" s="21">
        <f t="shared" si="25"/>
        <v>124520.54794520549</v>
      </c>
      <c r="R80" s="35">
        <f t="shared" si="18"/>
        <v>131314.11750624329</v>
      </c>
      <c r="S80" s="21">
        <f t="shared" si="26"/>
        <v>0</v>
      </c>
      <c r="T80" s="45">
        <f t="shared" si="9"/>
        <v>-31068473.862310279</v>
      </c>
      <c r="U80" s="1">
        <f t="shared" si="11"/>
        <v>-31133136.986438315</v>
      </c>
      <c r="Y80" s="46" t="s">
        <v>35</v>
      </c>
      <c r="Z80" s="30">
        <v>45930</v>
      </c>
      <c r="AA80" s="22">
        <f t="shared" si="24"/>
        <v>30</v>
      </c>
      <c r="AB80" s="21">
        <f t="shared" si="19"/>
        <v>118356.16438356166</v>
      </c>
      <c r="AC80" s="35">
        <f t="shared" si="20"/>
        <v>124964.89091157541</v>
      </c>
      <c r="AD80" s="21">
        <f t="shared" si="13"/>
        <v>0</v>
      </c>
      <c r="AE80" s="45">
        <f t="shared" si="21"/>
        <v>-31008273.052091841</v>
      </c>
      <c r="AF80" s="1">
        <f t="shared" si="12"/>
        <v>-31077041.0968493</v>
      </c>
    </row>
    <row r="81" spans="1:35" x14ac:dyDescent="0.3">
      <c r="A81" s="46" t="s">
        <v>35</v>
      </c>
      <c r="B81" s="30">
        <v>45961</v>
      </c>
      <c r="C81" s="22">
        <f t="shared" si="4"/>
        <v>31</v>
      </c>
      <c r="D81" s="21">
        <f t="shared" si="0"/>
        <v>2547.9452054794519</v>
      </c>
      <c r="E81" s="35">
        <f t="shared" si="14"/>
        <v>7135.6553786322474</v>
      </c>
      <c r="F81" s="21">
        <f t="shared" si="1"/>
        <v>0</v>
      </c>
      <c r="G81" s="45">
        <f t="shared" si="5"/>
        <v>-29946364.219976515</v>
      </c>
      <c r="H81" s="1">
        <f t="shared" si="8"/>
        <v>-30002547.945205521</v>
      </c>
      <c r="J81" s="65"/>
      <c r="N81" s="46" t="s">
        <v>35</v>
      </c>
      <c r="O81" s="30">
        <v>45961</v>
      </c>
      <c r="P81" s="22">
        <f t="shared" si="6"/>
        <v>31</v>
      </c>
      <c r="Q81" s="21">
        <f t="shared" si="25"/>
        <v>128671.23287671233</v>
      </c>
      <c r="R81" s="35">
        <f t="shared" si="18"/>
        <v>136276.82888827845</v>
      </c>
      <c r="S81" s="21">
        <f t="shared" si="26"/>
        <v>0</v>
      </c>
      <c r="T81" s="45">
        <f t="shared" si="9"/>
        <v>-31204750.691198558</v>
      </c>
      <c r="U81" s="1">
        <f t="shared" si="11"/>
        <v>-31261808.219315026</v>
      </c>
      <c r="Y81" s="46" t="s">
        <v>35</v>
      </c>
      <c r="Z81" s="30">
        <v>45961</v>
      </c>
      <c r="AA81" s="22">
        <f t="shared" si="24"/>
        <v>31</v>
      </c>
      <c r="AB81" s="21">
        <f t="shared" si="19"/>
        <v>122301.36986301371</v>
      </c>
      <c r="AC81" s="35">
        <f t="shared" si="20"/>
        <v>129661.62724562734</v>
      </c>
      <c r="AD81" s="21">
        <f t="shared" si="13"/>
        <v>0</v>
      </c>
      <c r="AE81" s="45">
        <f t="shared" si="21"/>
        <v>-31137934.679337468</v>
      </c>
      <c r="AF81" s="1">
        <f t="shared" si="12"/>
        <v>-31199342.466712315</v>
      </c>
    </row>
    <row r="82" spans="1:35" x14ac:dyDescent="0.3">
      <c r="A82" s="46" t="s">
        <v>35</v>
      </c>
      <c r="B82" s="30">
        <v>45991</v>
      </c>
      <c r="C82" s="22">
        <f t="shared" si="4"/>
        <v>30</v>
      </c>
      <c r="D82" s="21">
        <f t="shared" si="0"/>
        <v>2465.7534246575342</v>
      </c>
      <c r="E82" s="35">
        <f t="shared" si="14"/>
        <v>6907.0922336652875</v>
      </c>
      <c r="F82" s="21">
        <f t="shared" si="1"/>
        <v>0</v>
      </c>
      <c r="G82" s="45">
        <f t="shared" si="5"/>
        <v>-29953271.31221018</v>
      </c>
      <c r="H82" s="1">
        <f t="shared" si="8"/>
        <v>-30005013.69863018</v>
      </c>
      <c r="J82" s="65"/>
      <c r="N82" s="46" t="s">
        <v>35</v>
      </c>
      <c r="O82" s="30">
        <v>45970</v>
      </c>
      <c r="P82" s="22">
        <f t="shared" si="6"/>
        <v>9</v>
      </c>
      <c r="Q82" s="21">
        <f t="shared" si="25"/>
        <v>37356.164383561641</v>
      </c>
      <c r="R82" s="35">
        <f t="shared" si="18"/>
        <v>39676.087353702635</v>
      </c>
      <c r="S82" s="21">
        <f>-SUMIF($O$2:$O$28,O82,$P$2:$P$28)</f>
        <v>-1350000</v>
      </c>
      <c r="T82" s="45">
        <f t="shared" si="9"/>
        <v>-29894426.77855226</v>
      </c>
      <c r="U82" s="1">
        <f t="shared" si="11"/>
        <v>-29949164.383698586</v>
      </c>
      <c r="Y82" s="46" t="s">
        <v>35</v>
      </c>
      <c r="Z82" s="30">
        <v>45970</v>
      </c>
      <c r="AA82" s="22">
        <f t="shared" si="24"/>
        <v>9</v>
      </c>
      <c r="AB82" s="21">
        <f t="shared" si="19"/>
        <v>35506.849315068495</v>
      </c>
      <c r="AC82" s="35">
        <f t="shared" si="20"/>
        <v>37745.151358690113</v>
      </c>
      <c r="AD82" s="21">
        <f t="shared" si="13"/>
        <v>-1350000</v>
      </c>
      <c r="AE82" s="45">
        <f t="shared" si="21"/>
        <v>-29825679.830696158</v>
      </c>
      <c r="AF82" s="1">
        <f t="shared" si="12"/>
        <v>-29884849.316027384</v>
      </c>
    </row>
    <row r="83" spans="1:35" x14ac:dyDescent="0.3">
      <c r="A83" s="46" t="s">
        <v>35</v>
      </c>
      <c r="B83" s="30">
        <v>46022</v>
      </c>
      <c r="C83" s="22">
        <f t="shared" si="4"/>
        <v>31</v>
      </c>
      <c r="D83" s="21">
        <f t="shared" si="0"/>
        <v>2547.9452054794519</v>
      </c>
      <c r="E83" s="35">
        <f t="shared" si="14"/>
        <v>7139.0022987872362</v>
      </c>
      <c r="F83" s="21">
        <f t="shared" si="1"/>
        <v>7561.6438356164399</v>
      </c>
      <c r="G83" s="45">
        <f t="shared" si="5"/>
        <v>-29952848.670673352</v>
      </c>
      <c r="H83" s="1">
        <f t="shared" si="8"/>
        <v>-30000000.000000045</v>
      </c>
      <c r="J83" s="65"/>
      <c r="N83" s="46" t="s">
        <v>35</v>
      </c>
      <c r="O83" s="30">
        <v>46022</v>
      </c>
      <c r="P83" s="22">
        <f t="shared" si="6"/>
        <v>52</v>
      </c>
      <c r="Q83" s="21">
        <f t="shared" si="25"/>
        <v>215835.61643835617</v>
      </c>
      <c r="R83" s="35">
        <f t="shared" si="18"/>
        <v>220281.70317643881</v>
      </c>
      <c r="S83" s="21">
        <f>-SUMIF($O$2:$O$28,O83,$P$2:$P$28)</f>
        <v>-165000</v>
      </c>
      <c r="T83" s="45">
        <f t="shared" si="9"/>
        <v>-29949708.481728699</v>
      </c>
      <c r="U83" s="11">
        <f t="shared" si="11"/>
        <v>-30000000.000136942</v>
      </c>
      <c r="Y83" s="53" t="s">
        <v>35</v>
      </c>
      <c r="Z83" s="54">
        <v>46022</v>
      </c>
      <c r="AA83" s="55">
        <f t="shared" si="24"/>
        <v>52</v>
      </c>
      <c r="AB83" s="401">
        <f t="shared" si="19"/>
        <v>205150.68493150687</v>
      </c>
      <c r="AC83" s="69">
        <f t="shared" si="20"/>
        <v>209498.19159433618</v>
      </c>
      <c r="AD83" s="21">
        <f t="shared" si="13"/>
        <v>-90000</v>
      </c>
      <c r="AE83" s="45">
        <f t="shared" si="21"/>
        <v>-29945178.022290494</v>
      </c>
      <c r="AF83" s="11">
        <f t="shared" si="12"/>
        <v>-30000000.00095889</v>
      </c>
    </row>
    <row r="84" spans="1:35" x14ac:dyDescent="0.3">
      <c r="A84" s="46" t="s">
        <v>35</v>
      </c>
      <c r="B84" s="30">
        <v>46053</v>
      </c>
      <c r="C84" s="22">
        <f t="shared" si="4"/>
        <v>31</v>
      </c>
      <c r="D84" s="21">
        <f t="shared" si="0"/>
        <v>2547.9452054794519</v>
      </c>
      <c r="E84" s="35">
        <f t="shared" si="14"/>
        <v>7138.9015672542155</v>
      </c>
      <c r="F84" s="21">
        <f t="shared" si="1"/>
        <v>0</v>
      </c>
      <c r="G84" s="45">
        <f t="shared" si="5"/>
        <v>-29959987.572240606</v>
      </c>
      <c r="H84" s="1">
        <f t="shared" si="8"/>
        <v>-30002547.945205525</v>
      </c>
      <c r="J84" s="65"/>
      <c r="N84" s="46" t="s">
        <v>35</v>
      </c>
      <c r="O84" s="30">
        <v>46053</v>
      </c>
      <c r="P84" s="22">
        <f t="shared" si="6"/>
        <v>31</v>
      </c>
      <c r="Q84" s="21">
        <f t="shared" si="25"/>
        <v>128671.23287671233</v>
      </c>
      <c r="R84" s="35">
        <f t="shared" si="18"/>
        <v>131369.54573651403</v>
      </c>
      <c r="S84" s="21">
        <f t="shared" ref="S84:S93" si="27">SUMIF($O$2:$O$28,O84,$P$2:$P$28)</f>
        <v>0</v>
      </c>
      <c r="T84" s="45">
        <f t="shared" si="9"/>
        <v>-30081078.027465213</v>
      </c>
      <c r="U84" s="1">
        <f t="shared" si="11"/>
        <v>-30128671.233013652</v>
      </c>
      <c r="Y84" s="46" t="s">
        <v>35</v>
      </c>
      <c r="Z84" s="30">
        <v>46053</v>
      </c>
      <c r="AA84" s="22">
        <f t="shared" si="24"/>
        <v>31</v>
      </c>
      <c r="AB84" s="21">
        <f t="shared" si="19"/>
        <v>122301.36986301371</v>
      </c>
      <c r="AC84" s="35">
        <f t="shared" si="20"/>
        <v>125216.27708861604</v>
      </c>
      <c r="AD84" s="21">
        <f t="shared" si="13"/>
        <v>0</v>
      </c>
      <c r="AE84" s="45">
        <f t="shared" si="21"/>
        <v>-30070394.29937911</v>
      </c>
      <c r="AF84" s="1">
        <f t="shared" si="12"/>
        <v>-30122301.370821904</v>
      </c>
    </row>
    <row r="85" spans="1:35" x14ac:dyDescent="0.3">
      <c r="A85" s="46" t="s">
        <v>35</v>
      </c>
      <c r="B85" s="30">
        <v>46081</v>
      </c>
      <c r="C85" s="22">
        <f t="shared" si="4"/>
        <v>28</v>
      </c>
      <c r="D85" s="21">
        <f t="shared" si="0"/>
        <v>2301.3698630136987</v>
      </c>
      <c r="E85" s="35">
        <f t="shared" si="14"/>
        <v>6449.5025649927557</v>
      </c>
      <c r="F85" s="21">
        <f t="shared" si="1"/>
        <v>0</v>
      </c>
      <c r="G85" s="45">
        <f t="shared" si="5"/>
        <v>-29966437.074805599</v>
      </c>
      <c r="H85" s="1">
        <f t="shared" si="8"/>
        <v>-30004849.315068539</v>
      </c>
      <c r="J85" s="65"/>
      <c r="N85" s="46" t="s">
        <v>35</v>
      </c>
      <c r="O85" s="30">
        <v>46081</v>
      </c>
      <c r="P85" s="22">
        <f t="shared" si="6"/>
        <v>28</v>
      </c>
      <c r="Q85" s="21">
        <f t="shared" si="25"/>
        <v>116219.17808219178</v>
      </c>
      <c r="R85" s="35">
        <f t="shared" si="18"/>
        <v>119151.57693500072</v>
      </c>
      <c r="S85" s="21">
        <f t="shared" si="27"/>
        <v>0</v>
      </c>
      <c r="T85" s="45">
        <f t="shared" si="9"/>
        <v>-30200229.604400214</v>
      </c>
      <c r="U85" s="1">
        <f t="shared" si="11"/>
        <v>-30244890.411095843</v>
      </c>
      <c r="Y85" s="46" t="s">
        <v>35</v>
      </c>
      <c r="Z85" s="30">
        <v>46081</v>
      </c>
      <c r="AA85" s="22">
        <f t="shared" si="24"/>
        <v>28</v>
      </c>
      <c r="AB85" s="21">
        <f t="shared" si="19"/>
        <v>110465.75342465754</v>
      </c>
      <c r="AC85" s="35">
        <f t="shared" si="20"/>
        <v>113548.55244565755</v>
      </c>
      <c r="AD85" s="21">
        <f t="shared" si="13"/>
        <v>0</v>
      </c>
      <c r="AE85" s="45">
        <f t="shared" si="21"/>
        <v>-30183942.851824768</v>
      </c>
      <c r="AF85" s="1">
        <f t="shared" si="12"/>
        <v>-30232767.124246564</v>
      </c>
    </row>
    <row r="86" spans="1:35" x14ac:dyDescent="0.3">
      <c r="A86" s="46" t="s">
        <v>35</v>
      </c>
      <c r="B86" s="30">
        <v>46112</v>
      </c>
      <c r="C86" s="22">
        <f t="shared" si="4"/>
        <v>31</v>
      </c>
      <c r="D86" s="21">
        <f t="shared" si="0"/>
        <v>2547.9452054794519</v>
      </c>
      <c r="E86" s="35">
        <f t="shared" si="14"/>
        <v>7142.1402001008391</v>
      </c>
      <c r="F86" s="21">
        <f t="shared" si="1"/>
        <v>7397.2602739725999</v>
      </c>
      <c r="G86" s="45">
        <f t="shared" si="5"/>
        <v>-29966181.954731725</v>
      </c>
      <c r="H86" s="1">
        <f t="shared" si="8"/>
        <v>-30000000.000000045</v>
      </c>
      <c r="J86" s="65"/>
      <c r="N86" s="46" t="s">
        <v>35</v>
      </c>
      <c r="O86" s="30">
        <v>46112</v>
      </c>
      <c r="P86" s="22">
        <f t="shared" si="6"/>
        <v>31</v>
      </c>
      <c r="Q86" s="21">
        <f t="shared" si="25"/>
        <v>128671.23287671233</v>
      </c>
      <c r="R86" s="35">
        <f t="shared" si="18"/>
        <v>132468.41606784984</v>
      </c>
      <c r="S86" s="21">
        <f t="shared" si="27"/>
        <v>0</v>
      </c>
      <c r="T86" s="45">
        <f t="shared" si="9"/>
        <v>-30332698.020468064</v>
      </c>
      <c r="U86" s="1">
        <f t="shared" si="11"/>
        <v>-30373561.643972553</v>
      </c>
      <c r="Y86" s="46" t="s">
        <v>35</v>
      </c>
      <c r="Z86" s="30">
        <v>46112</v>
      </c>
      <c r="AA86" s="22">
        <f t="shared" si="24"/>
        <v>31</v>
      </c>
      <c r="AB86" s="21">
        <f t="shared" si="19"/>
        <v>122301.36986301371</v>
      </c>
      <c r="AC86" s="35">
        <f t="shared" si="20"/>
        <v>126214.67633111402</v>
      </c>
      <c r="AD86" s="21">
        <f t="shared" si="13"/>
        <v>0</v>
      </c>
      <c r="AE86" s="45">
        <f t="shared" si="21"/>
        <v>-30310157.528155882</v>
      </c>
      <c r="AF86" s="1">
        <f t="shared" si="12"/>
        <v>-30355068.494109578</v>
      </c>
    </row>
    <row r="87" spans="1:35" x14ac:dyDescent="0.3">
      <c r="A87" s="46" t="s">
        <v>35</v>
      </c>
      <c r="B87" s="30">
        <v>46142</v>
      </c>
      <c r="C87" s="22">
        <f t="shared" si="4"/>
        <v>30</v>
      </c>
      <c r="D87" s="21">
        <f t="shared" si="0"/>
        <v>2465.7534246575342</v>
      </c>
      <c r="E87" s="35">
        <f t="shared" si="14"/>
        <v>6911.6631699167192</v>
      </c>
      <c r="F87" s="21">
        <f t="shared" si="1"/>
        <v>0</v>
      </c>
      <c r="G87" s="45">
        <f t="shared" si="5"/>
        <v>-29973093.617901642</v>
      </c>
      <c r="H87" s="1">
        <f t="shared" si="8"/>
        <v>-30002465.753424704</v>
      </c>
      <c r="J87" s="65"/>
      <c r="N87" s="46" t="s">
        <v>35</v>
      </c>
      <c r="O87" s="30">
        <v>46142</v>
      </c>
      <c r="P87" s="22">
        <f t="shared" si="6"/>
        <v>30</v>
      </c>
      <c r="Q87" s="21">
        <f t="shared" si="25"/>
        <v>124520.54794520549</v>
      </c>
      <c r="R87" s="35">
        <f t="shared" si="18"/>
        <v>128748.45347786695</v>
      </c>
      <c r="S87" s="21">
        <f t="shared" si="27"/>
        <v>0</v>
      </c>
      <c r="T87" s="45">
        <f t="shared" si="9"/>
        <v>-30461446.473945931</v>
      </c>
      <c r="U87" s="1">
        <f t="shared" si="11"/>
        <v>-30498082.191917758</v>
      </c>
      <c r="Y87" s="46" t="s">
        <v>35</v>
      </c>
      <c r="Z87" s="30">
        <v>46142</v>
      </c>
      <c r="AA87" s="22">
        <f t="shared" si="24"/>
        <v>30</v>
      </c>
      <c r="AB87" s="21">
        <f t="shared" si="19"/>
        <v>118356.16438356166</v>
      </c>
      <c r="AC87" s="35">
        <f t="shared" si="20"/>
        <v>122645.71882165596</v>
      </c>
      <c r="AD87" s="21">
        <f t="shared" si="13"/>
        <v>0</v>
      </c>
      <c r="AE87" s="45">
        <f t="shared" si="21"/>
        <v>-30432803.246977538</v>
      </c>
      <c r="AF87" s="1">
        <f t="shared" si="12"/>
        <v>-30473424.658493139</v>
      </c>
    </row>
    <row r="88" spans="1:35" x14ac:dyDescent="0.3">
      <c r="A88" s="46" t="s">
        <v>35</v>
      </c>
      <c r="B88" s="30">
        <v>46173</v>
      </c>
      <c r="C88" s="22">
        <f t="shared" si="4"/>
        <v>31</v>
      </c>
      <c r="D88" s="21">
        <f t="shared" si="0"/>
        <v>2547.9452054794519</v>
      </c>
      <c r="E88" s="35">
        <f t="shared" si="14"/>
        <v>7143.7267071641982</v>
      </c>
      <c r="F88" s="21">
        <f t="shared" si="1"/>
        <v>0</v>
      </c>
      <c r="G88" s="45">
        <f t="shared" si="5"/>
        <v>-29980237.344608806</v>
      </c>
      <c r="H88" s="1">
        <f t="shared" si="8"/>
        <v>-30005013.698630184</v>
      </c>
      <c r="J88" s="65"/>
      <c r="N88" s="46" t="s">
        <v>35</v>
      </c>
      <c r="O88" s="30">
        <v>46173</v>
      </c>
      <c r="P88" s="22">
        <f t="shared" si="6"/>
        <v>31</v>
      </c>
      <c r="Q88" s="21">
        <f t="shared" si="25"/>
        <v>128671.23287671233</v>
      </c>
      <c r="R88" s="35">
        <f t="shared" si="18"/>
        <v>133614.20156061649</v>
      </c>
      <c r="S88" s="21">
        <f t="shared" si="27"/>
        <v>0</v>
      </c>
      <c r="T88" s="45">
        <f t="shared" si="9"/>
        <v>-30595060.675506547</v>
      </c>
      <c r="U88" s="1">
        <f t="shared" si="11"/>
        <v>-30626753.424794469</v>
      </c>
      <c r="Y88" s="46" t="s">
        <v>35</v>
      </c>
      <c r="Z88" s="30">
        <v>46173</v>
      </c>
      <c r="AA88" s="22">
        <f t="shared" si="24"/>
        <v>31</v>
      </c>
      <c r="AB88" s="21">
        <f t="shared" si="19"/>
        <v>122301.36986301371</v>
      </c>
      <c r="AC88" s="35">
        <f t="shared" si="20"/>
        <v>127255.29035493731</v>
      </c>
      <c r="AD88" s="21">
        <f t="shared" si="13"/>
        <v>0</v>
      </c>
      <c r="AE88" s="45">
        <f t="shared" si="21"/>
        <v>-30560058.537332475</v>
      </c>
      <c r="AF88" s="1">
        <f t="shared" si="12"/>
        <v>-30595726.028356154</v>
      </c>
    </row>
    <row r="89" spans="1:35" x14ac:dyDescent="0.3">
      <c r="A89" s="46" t="s">
        <v>35</v>
      </c>
      <c r="B89" s="30">
        <v>46203</v>
      </c>
      <c r="C89" s="22">
        <f t="shared" si="4"/>
        <v>30</v>
      </c>
      <c r="D89" s="21">
        <f t="shared" si="0"/>
        <v>2465.7534246575342</v>
      </c>
      <c r="E89" s="35">
        <f t="shared" si="14"/>
        <v>6914.9050283767283</v>
      </c>
      <c r="F89" s="21">
        <f t="shared" si="1"/>
        <v>7479.4520547945203</v>
      </c>
      <c r="G89" s="45">
        <f t="shared" si="5"/>
        <v>-29979672.797582388</v>
      </c>
      <c r="H89" s="1">
        <f t="shared" si="8"/>
        <v>-30000000.000000048</v>
      </c>
      <c r="J89" s="65"/>
      <c r="N89" s="46" t="s">
        <v>35</v>
      </c>
      <c r="O89" s="30">
        <v>46203</v>
      </c>
      <c r="P89" s="22">
        <f t="shared" si="6"/>
        <v>30</v>
      </c>
      <c r="Q89" s="21">
        <f t="shared" si="25"/>
        <v>124520.54794520549</v>
      </c>
      <c r="R89" s="35">
        <f t="shared" si="18"/>
        <v>129862.06315623224</v>
      </c>
      <c r="S89" s="21">
        <f t="shared" si="27"/>
        <v>0</v>
      </c>
      <c r="T89" s="45">
        <f t="shared" si="9"/>
        <v>-30724922.738662779</v>
      </c>
      <c r="U89" s="1">
        <f t="shared" si="11"/>
        <v>-30751273.972739674</v>
      </c>
      <c r="Y89" s="46" t="s">
        <v>35</v>
      </c>
      <c r="Z89" s="30">
        <v>46203</v>
      </c>
      <c r="AA89" s="22">
        <f t="shared" si="24"/>
        <v>30</v>
      </c>
      <c r="AB89" s="21">
        <f t="shared" si="19"/>
        <v>118356.16438356166</v>
      </c>
      <c r="AC89" s="35">
        <f t="shared" si="20"/>
        <v>123656.90752551705</v>
      </c>
      <c r="AD89" s="21">
        <f t="shared" si="13"/>
        <v>0</v>
      </c>
      <c r="AE89" s="45">
        <f t="shared" si="21"/>
        <v>-30683715.444857992</v>
      </c>
      <c r="AF89" s="1">
        <f t="shared" si="12"/>
        <v>-30714082.192739714</v>
      </c>
    </row>
    <row r="90" spans="1:35" x14ac:dyDescent="0.3">
      <c r="A90" s="46" t="s">
        <v>35</v>
      </c>
      <c r="B90" s="30">
        <v>46234</v>
      </c>
      <c r="C90" s="22">
        <f t="shared" si="4"/>
        <v>31</v>
      </c>
      <c r="D90" s="21">
        <f t="shared" si="0"/>
        <v>2547.9452054794519</v>
      </c>
      <c r="E90" s="35">
        <f t="shared" si="14"/>
        <v>7145.29477558285</v>
      </c>
      <c r="F90" s="21">
        <f t="shared" si="1"/>
        <v>0</v>
      </c>
      <c r="G90" s="45">
        <f t="shared" si="5"/>
        <v>-29986818.092357971</v>
      </c>
      <c r="H90" s="1">
        <f t="shared" si="8"/>
        <v>-30002547.945205528</v>
      </c>
      <c r="J90" s="65"/>
      <c r="N90" s="46" t="s">
        <v>35</v>
      </c>
      <c r="O90" s="30">
        <v>46234</v>
      </c>
      <c r="P90" s="22">
        <f t="shared" si="6"/>
        <v>31</v>
      </c>
      <c r="Q90" s="21">
        <f t="shared" si="25"/>
        <v>128671.23287671233</v>
      </c>
      <c r="R90" s="35">
        <f t="shared" si="18"/>
        <v>134769.89752437919</v>
      </c>
      <c r="S90" s="21">
        <f t="shared" si="27"/>
        <v>0</v>
      </c>
      <c r="T90" s="45">
        <f t="shared" si="9"/>
        <v>-30859692.636187159</v>
      </c>
      <c r="U90" s="1">
        <f t="shared" si="11"/>
        <v>-30879945.205616385</v>
      </c>
      <c r="Y90" s="46" t="s">
        <v>35</v>
      </c>
      <c r="Z90" s="30">
        <v>46234</v>
      </c>
      <c r="AA90" s="22">
        <f t="shared" si="24"/>
        <v>31</v>
      </c>
      <c r="AB90" s="21">
        <f t="shared" si="19"/>
        <v>122301.36986301371</v>
      </c>
      <c r="AC90" s="35">
        <f t="shared" si="20"/>
        <v>128304.48402716592</v>
      </c>
      <c r="AD90" s="21">
        <f t="shared" si="13"/>
        <v>0</v>
      </c>
      <c r="AE90" s="45">
        <f t="shared" si="21"/>
        <v>-30812019.928885158</v>
      </c>
      <c r="AF90" s="1">
        <f t="shared" si="12"/>
        <v>-30836383.562602729</v>
      </c>
    </row>
    <row r="91" spans="1:35" x14ac:dyDescent="0.3">
      <c r="A91" s="46" t="s">
        <v>35</v>
      </c>
      <c r="B91" s="30">
        <v>46265</v>
      </c>
      <c r="C91" s="22">
        <f t="shared" si="4"/>
        <v>31</v>
      </c>
      <c r="D91" s="21">
        <f t="shared" si="0"/>
        <v>2547.9452054794519</v>
      </c>
      <c r="E91" s="35">
        <f t="shared" si="14"/>
        <v>7146.9977707378566</v>
      </c>
      <c r="F91" s="21">
        <f t="shared" si="1"/>
        <v>0</v>
      </c>
      <c r="G91" s="45">
        <f t="shared" si="5"/>
        <v>-29993965.090128709</v>
      </c>
      <c r="H91" s="1">
        <f t="shared" si="8"/>
        <v>-30005095.890411008</v>
      </c>
      <c r="J91" s="65"/>
      <c r="N91" s="46" t="s">
        <v>35</v>
      </c>
      <c r="O91" s="30">
        <v>46265</v>
      </c>
      <c r="P91" s="22">
        <f t="shared" si="6"/>
        <v>31</v>
      </c>
      <c r="Q91" s="21">
        <f t="shared" si="25"/>
        <v>128671.23287671233</v>
      </c>
      <c r="R91" s="35">
        <f t="shared" si="18"/>
        <v>135361.04385314882</v>
      </c>
      <c r="S91" s="21">
        <f t="shared" si="27"/>
        <v>0</v>
      </c>
      <c r="T91" s="45">
        <f t="shared" si="9"/>
        <v>-30995053.680040307</v>
      </c>
      <c r="U91" s="1">
        <f t="shared" si="11"/>
        <v>-31008616.438493095</v>
      </c>
      <c r="Y91" s="46" t="s">
        <v>35</v>
      </c>
      <c r="Z91" s="30">
        <v>46265</v>
      </c>
      <c r="AA91" s="22">
        <f t="shared" si="24"/>
        <v>31</v>
      </c>
      <c r="AB91" s="21">
        <f t="shared" si="19"/>
        <v>122301.36986301371</v>
      </c>
      <c r="AC91" s="35">
        <f t="shared" si="20"/>
        <v>128840.99143452197</v>
      </c>
      <c r="AD91" s="21">
        <f t="shared" si="13"/>
        <v>0</v>
      </c>
      <c r="AE91" s="45">
        <f t="shared" si="21"/>
        <v>-30940860.92031968</v>
      </c>
      <c r="AF91" s="1">
        <f t="shared" si="12"/>
        <v>-30958684.932465743</v>
      </c>
    </row>
    <row r="92" spans="1:35" x14ac:dyDescent="0.3">
      <c r="A92" s="46" t="s">
        <v>35</v>
      </c>
      <c r="B92" s="30">
        <v>46295</v>
      </c>
      <c r="C92" s="22">
        <f t="shared" si="4"/>
        <v>30</v>
      </c>
      <c r="D92" s="21">
        <f t="shared" si="0"/>
        <v>2465.7534246575342</v>
      </c>
      <c r="E92" s="35">
        <f t="shared" si="14"/>
        <v>6918.0713160708547</v>
      </c>
      <c r="F92" s="21">
        <f t="shared" si="1"/>
        <v>7561.6438356164399</v>
      </c>
      <c r="G92" s="45">
        <f t="shared" si="5"/>
        <v>-29993321.517609164</v>
      </c>
      <c r="H92" s="1">
        <f t="shared" si="8"/>
        <v>-30000000.000000052</v>
      </c>
      <c r="J92" s="65"/>
      <c r="N92" s="46" t="s">
        <v>35</v>
      </c>
      <c r="O92" s="30">
        <v>46295</v>
      </c>
      <c r="P92" s="22">
        <f t="shared" si="6"/>
        <v>30</v>
      </c>
      <c r="Q92" s="21">
        <f t="shared" si="25"/>
        <v>124520.54794520549</v>
      </c>
      <c r="R92" s="35">
        <f t="shared" si="18"/>
        <v>131559.85082750767</v>
      </c>
      <c r="S92" s="21">
        <f t="shared" si="27"/>
        <v>0</v>
      </c>
      <c r="T92" s="45">
        <f t="shared" si="9"/>
        <v>-31126613.530867815</v>
      </c>
      <c r="U92" s="1">
        <f t="shared" si="11"/>
        <v>-31133136.9864383</v>
      </c>
      <c r="Y92" s="46" t="s">
        <v>35</v>
      </c>
      <c r="Z92" s="30">
        <v>46295</v>
      </c>
      <c r="AA92" s="22">
        <f t="shared" si="24"/>
        <v>30</v>
      </c>
      <c r="AB92" s="21">
        <f t="shared" si="19"/>
        <v>118356.16438356166</v>
      </c>
      <c r="AC92" s="35">
        <f t="shared" si="20"/>
        <v>125197.76992278919</v>
      </c>
      <c r="AD92" s="21">
        <f t="shared" si="13"/>
        <v>0</v>
      </c>
      <c r="AE92" s="45">
        <f t="shared" si="21"/>
        <v>-31066058.690242469</v>
      </c>
      <c r="AF92" s="1">
        <f t="shared" si="12"/>
        <v>-31077041.096849304</v>
      </c>
    </row>
    <row r="93" spans="1:35" x14ac:dyDescent="0.3">
      <c r="A93" s="46" t="s">
        <v>35</v>
      </c>
      <c r="B93" s="30">
        <v>46326</v>
      </c>
      <c r="C93" s="22">
        <f t="shared" si="4"/>
        <v>31</v>
      </c>
      <c r="D93" s="21">
        <f t="shared" si="0"/>
        <v>2547.9452054794519</v>
      </c>
      <c r="E93" s="35">
        <f t="shared" si="14"/>
        <v>7148.5477840006351</v>
      </c>
      <c r="F93" s="21">
        <f t="shared" si="1"/>
        <v>0</v>
      </c>
      <c r="G93" s="45">
        <f t="shared" si="5"/>
        <v>-30000470.065393165</v>
      </c>
      <c r="H93" s="1">
        <f t="shared" si="8"/>
        <v>-30002547.945205532</v>
      </c>
      <c r="J93" s="65"/>
      <c r="N93" s="46" t="s">
        <v>35</v>
      </c>
      <c r="O93" s="30">
        <v>46326</v>
      </c>
      <c r="P93" s="22">
        <f t="shared" si="6"/>
        <v>31</v>
      </c>
      <c r="Q93" s="21">
        <f t="shared" si="25"/>
        <v>128671.23287671233</v>
      </c>
      <c r="R93" s="35">
        <f t="shared" si="18"/>
        <v>136531.84912837297</v>
      </c>
      <c r="S93" s="21">
        <f t="shared" si="27"/>
        <v>0</v>
      </c>
      <c r="T93" s="45">
        <f t="shared" si="9"/>
        <v>-31263145.379996188</v>
      </c>
      <c r="U93" s="1">
        <f t="shared" si="11"/>
        <v>-31261808.219315011</v>
      </c>
      <c r="Y93" s="46" t="s">
        <v>35</v>
      </c>
      <c r="Z93" s="30">
        <v>46326</v>
      </c>
      <c r="AA93" s="22">
        <f t="shared" si="24"/>
        <v>31</v>
      </c>
      <c r="AB93" s="21">
        <f t="shared" si="19"/>
        <v>122301.36986301371</v>
      </c>
      <c r="AC93" s="35">
        <f t="shared" si="20"/>
        <v>129903.25888571888</v>
      </c>
      <c r="AD93" s="21">
        <f t="shared" si="13"/>
        <v>0</v>
      </c>
      <c r="AE93" s="45">
        <f t="shared" si="21"/>
        <v>-31195961.949128188</v>
      </c>
      <c r="AF93" s="1">
        <f t="shared" si="12"/>
        <v>-31199342.466712318</v>
      </c>
    </row>
    <row r="94" spans="1:35" x14ac:dyDescent="0.3">
      <c r="A94" s="46" t="s">
        <v>36</v>
      </c>
      <c r="B94" s="30">
        <v>46340</v>
      </c>
      <c r="C94" s="22">
        <f t="shared" si="4"/>
        <v>14</v>
      </c>
      <c r="D94" s="21">
        <f t="shared" si="0"/>
        <v>1150.6849315068494</v>
      </c>
      <c r="E94" s="35">
        <f t="shared" si="14"/>
        <v>3228.934862203896</v>
      </c>
      <c r="F94" s="21">
        <f>C27</f>
        <v>3698.6301369862999</v>
      </c>
      <c r="G94" s="45">
        <f>G93-E94+F94</f>
        <v>-30000000.370118383</v>
      </c>
      <c r="H94" s="1">
        <f t="shared" si="8"/>
        <v>-30000000.000000052</v>
      </c>
      <c r="J94" s="65"/>
      <c r="N94" s="46" t="s">
        <v>36</v>
      </c>
      <c r="O94" s="30">
        <v>46340</v>
      </c>
      <c r="P94" s="22">
        <v>14</v>
      </c>
      <c r="Q94" s="21">
        <v>62260.27</v>
      </c>
      <c r="R94" s="35">
        <f t="shared" si="18"/>
        <v>61855.688966847956</v>
      </c>
      <c r="S94" s="21">
        <f>-SUMIF($O$2:$O$28,O94,$P$2:$P$28)+30000000</f>
        <v>-1324068.4899999984</v>
      </c>
      <c r="T94" s="45">
        <f t="shared" si="9"/>
        <v>-30000932.578963038</v>
      </c>
      <c r="U94" s="11">
        <f t="shared" si="11"/>
        <v>-29999999.999315012</v>
      </c>
      <c r="Y94" s="46" t="s">
        <v>36</v>
      </c>
      <c r="Z94" s="30">
        <v>46340</v>
      </c>
      <c r="AA94" s="22">
        <v>14</v>
      </c>
      <c r="AB94" s="21">
        <f t="shared" si="19"/>
        <v>55232.876712328769</v>
      </c>
      <c r="AC94" s="35">
        <f t="shared" si="20"/>
        <v>58843.901649300009</v>
      </c>
      <c r="AD94" s="21">
        <f>-SUMIF($Z$2:$Z$28,Z94,$AA$2:$AA$28)+30000000</f>
        <v>-1254575.3399999999</v>
      </c>
      <c r="AE94" s="45">
        <f t="shared" si="21"/>
        <v>-30000230.510777488</v>
      </c>
      <c r="AF94" s="11">
        <f t="shared" si="12"/>
        <v>-30000000.003424648</v>
      </c>
    </row>
    <row r="95" spans="1:35" ht="15" thickBot="1" x14ac:dyDescent="0.35">
      <c r="A95" s="91" t="s">
        <v>37</v>
      </c>
      <c r="B95" s="92">
        <v>46340</v>
      </c>
      <c r="C95" s="22">
        <f t="shared" si="4"/>
        <v>0</v>
      </c>
      <c r="D95" s="94"/>
      <c r="E95" s="94"/>
      <c r="F95" s="94">
        <f>C28</f>
        <v>30000000</v>
      </c>
      <c r="G95" s="50">
        <f t="shared" ref="G95" si="28">G94+E95+F95</f>
        <v>-0.37011838331818581</v>
      </c>
      <c r="H95" s="1">
        <f t="shared" si="8"/>
        <v>-5.2154064178466797E-8</v>
      </c>
      <c r="N95" s="91" t="s">
        <v>37</v>
      </c>
      <c r="O95" s="92">
        <v>46340</v>
      </c>
      <c r="P95" s="22">
        <f t="shared" si="6"/>
        <v>0</v>
      </c>
      <c r="Q95" s="94"/>
      <c r="R95" s="94"/>
      <c r="S95" s="94">
        <f>P28</f>
        <v>30000000</v>
      </c>
      <c r="T95" s="50">
        <f t="shared" ref="T95" si="29">T94+R95+S95</f>
        <v>-932.57896303758025</v>
      </c>
      <c r="U95" s="1">
        <f t="shared" ref="U95" si="30">U94-Q95+S95</f>
        <v>6.8498775362968445E-4</v>
      </c>
      <c r="Y95" s="91" t="s">
        <v>37</v>
      </c>
      <c r="Z95" s="92">
        <v>46340</v>
      </c>
      <c r="AA95" s="22">
        <f t="shared" si="24"/>
        <v>0</v>
      </c>
      <c r="AB95" s="94"/>
      <c r="AC95" s="94"/>
      <c r="AD95" s="94">
        <f>AA28</f>
        <v>30000000</v>
      </c>
      <c r="AE95" s="480">
        <f t="shared" ref="AE95" si="31">AE94+AC95+AD95</f>
        <v>-230.51077748835087</v>
      </c>
      <c r="AF95" s="1">
        <f t="shared" ref="AF95" si="32">AF94-AB95+AD95</f>
        <v>-3.4246481955051422E-3</v>
      </c>
      <c r="AG95" s="399" t="s">
        <v>1536</v>
      </c>
      <c r="AH95" s="399"/>
      <c r="AI95" s="399"/>
    </row>
    <row r="96" spans="1:35" x14ac:dyDescent="0.3">
      <c r="D96" s="65">
        <f>SUM(D34:D95)</f>
        <v>149917.80821917814</v>
      </c>
      <c r="E96" s="65">
        <f>SUM(E34:E95)</f>
        <v>418818.1783375591</v>
      </c>
      <c r="Q96" s="65">
        <f>SUM(Q34:Q95)</f>
        <v>7387767.1193150673</v>
      </c>
      <c r="R96" s="65">
        <f>SUM(R34:R95)</f>
        <v>7657599.6989630349</v>
      </c>
      <c r="AB96" s="65">
        <f>SUM(AB32:AB95)</f>
        <v>7130773.9734246582</v>
      </c>
      <c r="AC96" s="65">
        <f>SUM(AC32:AC95)</f>
        <v>7399904.4807774872</v>
      </c>
      <c r="AF96" s="483">
        <f>-('půjčka výpočet'!O14+'půjčka výpočet'!O19)</f>
        <v>-83157.540000000037</v>
      </c>
    </row>
    <row r="97" spans="5:31" x14ac:dyDescent="0.3">
      <c r="E97" s="65">
        <f>E96-C3</f>
        <v>149918.1783375591</v>
      </c>
      <c r="Q97" s="65">
        <f>Q96+P3</f>
        <v>7387767.1193150673</v>
      </c>
      <c r="R97" s="65">
        <f>R96-Q97</f>
        <v>269832.57964796759</v>
      </c>
      <c r="AA97" t="s">
        <v>1433</v>
      </c>
      <c r="AB97" s="65">
        <f>AB96+AA3</f>
        <v>7399673.9734246582</v>
      </c>
      <c r="AC97" s="65">
        <f>AB97-AC96</f>
        <v>-230.50735282897949</v>
      </c>
      <c r="AD97" s="65"/>
    </row>
    <row r="98" spans="5:31" x14ac:dyDescent="0.3">
      <c r="AB98" s="65"/>
      <c r="AC98" s="65"/>
    </row>
    <row r="99" spans="5:31" ht="15" thickBot="1" x14ac:dyDescent="0.35">
      <c r="R99" s="65"/>
      <c r="AC99" s="65"/>
      <c r="AE99" s="50"/>
    </row>
  </sheetData>
  <mergeCells count="6">
    <mergeCell ref="AH55:AI55"/>
    <mergeCell ref="Y1:AD1"/>
    <mergeCell ref="AH40:AI40"/>
    <mergeCell ref="AH52:AI52"/>
    <mergeCell ref="J34:K34"/>
    <mergeCell ref="W40:X40"/>
  </mergeCells>
  <phoneticPr fontId="59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32F98-9DF4-4FDB-A9C8-56BA1664E5C6}">
  <sheetPr codeName="List9"/>
  <dimension ref="A1:R140"/>
  <sheetViews>
    <sheetView topLeftCell="B6" zoomScale="90" zoomScaleNormal="90" workbookViewId="0">
      <selection activeCell="I34" activeCellId="1" sqref="F28:F33 I34"/>
    </sheetView>
  </sheetViews>
  <sheetFormatPr defaultRowHeight="10.199999999999999" outlineLevelRow="1" x14ac:dyDescent="0.2"/>
  <cols>
    <col min="1" max="2" width="11.5546875" style="346" bestFit="1" customWidth="1"/>
    <col min="3" max="3" width="6.21875" style="346" customWidth="1"/>
    <col min="4" max="4" width="10.77734375" style="346" customWidth="1"/>
    <col min="5" max="5" width="13.5546875" style="346" customWidth="1"/>
    <col min="6" max="7" width="13.77734375" style="346" customWidth="1"/>
    <col min="8" max="8" width="13.21875" style="346" customWidth="1"/>
    <col min="9" max="9" width="14.21875" style="346" customWidth="1"/>
    <col min="10" max="10" width="18.21875" style="346" customWidth="1"/>
    <col min="11" max="11" width="7.5546875" style="346" customWidth="1"/>
    <col min="12" max="12" width="15.5546875" style="346" customWidth="1"/>
    <col min="13" max="15" width="16.21875" style="346" customWidth="1"/>
    <col min="16" max="16" width="16.33203125" style="342" customWidth="1"/>
    <col min="17" max="244" width="8.88671875" style="342"/>
    <col min="245" max="246" width="11.5546875" style="342" bestFit="1" customWidth="1"/>
    <col min="247" max="247" width="6.21875" style="342" customWidth="1"/>
    <col min="248" max="248" width="10.77734375" style="342" customWidth="1"/>
    <col min="249" max="249" width="13.5546875" style="342" customWidth="1"/>
    <col min="250" max="250" width="13.77734375" style="342" customWidth="1"/>
    <col min="251" max="251" width="13.21875" style="342" customWidth="1"/>
    <col min="252" max="252" width="19.5546875" style="342" customWidth="1"/>
    <col min="253" max="253" width="18.21875" style="342" customWidth="1"/>
    <col min="254" max="254" width="7.5546875" style="342" customWidth="1"/>
    <col min="255" max="255" width="15.5546875" style="342" customWidth="1"/>
    <col min="256" max="256" width="16.21875" style="342" customWidth="1"/>
    <col min="257" max="257" width="12.5546875" style="342" customWidth="1"/>
    <col min="258" max="500" width="8.88671875" style="342"/>
    <col min="501" max="502" width="11.5546875" style="342" bestFit="1" customWidth="1"/>
    <col min="503" max="503" width="6.21875" style="342" customWidth="1"/>
    <col min="504" max="504" width="10.77734375" style="342" customWidth="1"/>
    <col min="505" max="505" width="13.5546875" style="342" customWidth="1"/>
    <col min="506" max="506" width="13.77734375" style="342" customWidth="1"/>
    <col min="507" max="507" width="13.21875" style="342" customWidth="1"/>
    <col min="508" max="508" width="19.5546875" style="342" customWidth="1"/>
    <col min="509" max="509" width="18.21875" style="342" customWidth="1"/>
    <col min="510" max="510" width="7.5546875" style="342" customWidth="1"/>
    <col min="511" max="511" width="15.5546875" style="342" customWidth="1"/>
    <col min="512" max="512" width="16.21875" style="342" customWidth="1"/>
    <col min="513" max="513" width="12.5546875" style="342" customWidth="1"/>
    <col min="514" max="756" width="8.88671875" style="342"/>
    <col min="757" max="758" width="11.5546875" style="342" bestFit="1" customWidth="1"/>
    <col min="759" max="759" width="6.21875" style="342" customWidth="1"/>
    <col min="760" max="760" width="10.77734375" style="342" customWidth="1"/>
    <col min="761" max="761" width="13.5546875" style="342" customWidth="1"/>
    <col min="762" max="762" width="13.77734375" style="342" customWidth="1"/>
    <col min="763" max="763" width="13.21875" style="342" customWidth="1"/>
    <col min="764" max="764" width="19.5546875" style="342" customWidth="1"/>
    <col min="765" max="765" width="18.21875" style="342" customWidth="1"/>
    <col min="766" max="766" width="7.5546875" style="342" customWidth="1"/>
    <col min="767" max="767" width="15.5546875" style="342" customWidth="1"/>
    <col min="768" max="768" width="16.21875" style="342" customWidth="1"/>
    <col min="769" max="769" width="12.5546875" style="342" customWidth="1"/>
    <col min="770" max="1012" width="8.88671875" style="342"/>
    <col min="1013" max="1014" width="11.5546875" style="342" bestFit="1" customWidth="1"/>
    <col min="1015" max="1015" width="6.21875" style="342" customWidth="1"/>
    <col min="1016" max="1016" width="10.77734375" style="342" customWidth="1"/>
    <col min="1017" max="1017" width="13.5546875" style="342" customWidth="1"/>
    <col min="1018" max="1018" width="13.77734375" style="342" customWidth="1"/>
    <col min="1019" max="1019" width="13.21875" style="342" customWidth="1"/>
    <col min="1020" max="1020" width="19.5546875" style="342" customWidth="1"/>
    <col min="1021" max="1021" width="18.21875" style="342" customWidth="1"/>
    <col min="1022" max="1022" width="7.5546875" style="342" customWidth="1"/>
    <col min="1023" max="1023" width="15.5546875" style="342" customWidth="1"/>
    <col min="1024" max="1024" width="16.21875" style="342" customWidth="1"/>
    <col min="1025" max="1025" width="12.5546875" style="342" customWidth="1"/>
    <col min="1026" max="1268" width="8.88671875" style="342"/>
    <col min="1269" max="1270" width="11.5546875" style="342" bestFit="1" customWidth="1"/>
    <col min="1271" max="1271" width="6.21875" style="342" customWidth="1"/>
    <col min="1272" max="1272" width="10.77734375" style="342" customWidth="1"/>
    <col min="1273" max="1273" width="13.5546875" style="342" customWidth="1"/>
    <col min="1274" max="1274" width="13.77734375" style="342" customWidth="1"/>
    <col min="1275" max="1275" width="13.21875" style="342" customWidth="1"/>
    <col min="1276" max="1276" width="19.5546875" style="342" customWidth="1"/>
    <col min="1277" max="1277" width="18.21875" style="342" customWidth="1"/>
    <col min="1278" max="1278" width="7.5546875" style="342" customWidth="1"/>
    <col min="1279" max="1279" width="15.5546875" style="342" customWidth="1"/>
    <col min="1280" max="1280" width="16.21875" style="342" customWidth="1"/>
    <col min="1281" max="1281" width="12.5546875" style="342" customWidth="1"/>
    <col min="1282" max="1524" width="8.88671875" style="342"/>
    <col min="1525" max="1526" width="11.5546875" style="342" bestFit="1" customWidth="1"/>
    <col min="1527" max="1527" width="6.21875" style="342" customWidth="1"/>
    <col min="1528" max="1528" width="10.77734375" style="342" customWidth="1"/>
    <col min="1529" max="1529" width="13.5546875" style="342" customWidth="1"/>
    <col min="1530" max="1530" width="13.77734375" style="342" customWidth="1"/>
    <col min="1531" max="1531" width="13.21875" style="342" customWidth="1"/>
    <col min="1532" max="1532" width="19.5546875" style="342" customWidth="1"/>
    <col min="1533" max="1533" width="18.21875" style="342" customWidth="1"/>
    <col min="1534" max="1534" width="7.5546875" style="342" customWidth="1"/>
    <col min="1535" max="1535" width="15.5546875" style="342" customWidth="1"/>
    <col min="1536" max="1536" width="16.21875" style="342" customWidth="1"/>
    <col min="1537" max="1537" width="12.5546875" style="342" customWidth="1"/>
    <col min="1538" max="1780" width="8.88671875" style="342"/>
    <col min="1781" max="1782" width="11.5546875" style="342" bestFit="1" customWidth="1"/>
    <col min="1783" max="1783" width="6.21875" style="342" customWidth="1"/>
    <col min="1784" max="1784" width="10.77734375" style="342" customWidth="1"/>
    <col min="1785" max="1785" width="13.5546875" style="342" customWidth="1"/>
    <col min="1786" max="1786" width="13.77734375" style="342" customWidth="1"/>
    <col min="1787" max="1787" width="13.21875" style="342" customWidth="1"/>
    <col min="1788" max="1788" width="19.5546875" style="342" customWidth="1"/>
    <col min="1789" max="1789" width="18.21875" style="342" customWidth="1"/>
    <col min="1790" max="1790" width="7.5546875" style="342" customWidth="1"/>
    <col min="1791" max="1791" width="15.5546875" style="342" customWidth="1"/>
    <col min="1792" max="1792" width="16.21875" style="342" customWidth="1"/>
    <col min="1793" max="1793" width="12.5546875" style="342" customWidth="1"/>
    <col min="1794" max="2036" width="8.88671875" style="342"/>
    <col min="2037" max="2038" width="11.5546875" style="342" bestFit="1" customWidth="1"/>
    <col min="2039" max="2039" width="6.21875" style="342" customWidth="1"/>
    <col min="2040" max="2040" width="10.77734375" style="342" customWidth="1"/>
    <col min="2041" max="2041" width="13.5546875" style="342" customWidth="1"/>
    <col min="2042" max="2042" width="13.77734375" style="342" customWidth="1"/>
    <col min="2043" max="2043" width="13.21875" style="342" customWidth="1"/>
    <col min="2044" max="2044" width="19.5546875" style="342" customWidth="1"/>
    <col min="2045" max="2045" width="18.21875" style="342" customWidth="1"/>
    <col min="2046" max="2046" width="7.5546875" style="342" customWidth="1"/>
    <col min="2047" max="2047" width="15.5546875" style="342" customWidth="1"/>
    <col min="2048" max="2048" width="16.21875" style="342" customWidth="1"/>
    <col min="2049" max="2049" width="12.5546875" style="342" customWidth="1"/>
    <col min="2050" max="2292" width="8.88671875" style="342"/>
    <col min="2293" max="2294" width="11.5546875" style="342" bestFit="1" customWidth="1"/>
    <col min="2295" max="2295" width="6.21875" style="342" customWidth="1"/>
    <col min="2296" max="2296" width="10.77734375" style="342" customWidth="1"/>
    <col min="2297" max="2297" width="13.5546875" style="342" customWidth="1"/>
    <col min="2298" max="2298" width="13.77734375" style="342" customWidth="1"/>
    <col min="2299" max="2299" width="13.21875" style="342" customWidth="1"/>
    <col min="2300" max="2300" width="19.5546875" style="342" customWidth="1"/>
    <col min="2301" max="2301" width="18.21875" style="342" customWidth="1"/>
    <col min="2302" max="2302" width="7.5546875" style="342" customWidth="1"/>
    <col min="2303" max="2303" width="15.5546875" style="342" customWidth="1"/>
    <col min="2304" max="2304" width="16.21875" style="342" customWidth="1"/>
    <col min="2305" max="2305" width="12.5546875" style="342" customWidth="1"/>
    <col min="2306" max="2548" width="8.88671875" style="342"/>
    <col min="2549" max="2550" width="11.5546875" style="342" bestFit="1" customWidth="1"/>
    <col min="2551" max="2551" width="6.21875" style="342" customWidth="1"/>
    <col min="2552" max="2552" width="10.77734375" style="342" customWidth="1"/>
    <col min="2553" max="2553" width="13.5546875" style="342" customWidth="1"/>
    <col min="2554" max="2554" width="13.77734375" style="342" customWidth="1"/>
    <col min="2555" max="2555" width="13.21875" style="342" customWidth="1"/>
    <col min="2556" max="2556" width="19.5546875" style="342" customWidth="1"/>
    <col min="2557" max="2557" width="18.21875" style="342" customWidth="1"/>
    <col min="2558" max="2558" width="7.5546875" style="342" customWidth="1"/>
    <col min="2559" max="2559" width="15.5546875" style="342" customWidth="1"/>
    <col min="2560" max="2560" width="16.21875" style="342" customWidth="1"/>
    <col min="2561" max="2561" width="12.5546875" style="342" customWidth="1"/>
    <col min="2562" max="2804" width="8.88671875" style="342"/>
    <col min="2805" max="2806" width="11.5546875" style="342" bestFit="1" customWidth="1"/>
    <col min="2807" max="2807" width="6.21875" style="342" customWidth="1"/>
    <col min="2808" max="2808" width="10.77734375" style="342" customWidth="1"/>
    <col min="2809" max="2809" width="13.5546875" style="342" customWidth="1"/>
    <col min="2810" max="2810" width="13.77734375" style="342" customWidth="1"/>
    <col min="2811" max="2811" width="13.21875" style="342" customWidth="1"/>
    <col min="2812" max="2812" width="19.5546875" style="342" customWidth="1"/>
    <col min="2813" max="2813" width="18.21875" style="342" customWidth="1"/>
    <col min="2814" max="2814" width="7.5546875" style="342" customWidth="1"/>
    <col min="2815" max="2815" width="15.5546875" style="342" customWidth="1"/>
    <col min="2816" max="2816" width="16.21875" style="342" customWidth="1"/>
    <col min="2817" max="2817" width="12.5546875" style="342" customWidth="1"/>
    <col min="2818" max="3060" width="8.88671875" style="342"/>
    <col min="3061" max="3062" width="11.5546875" style="342" bestFit="1" customWidth="1"/>
    <col min="3063" max="3063" width="6.21875" style="342" customWidth="1"/>
    <col min="3064" max="3064" width="10.77734375" style="342" customWidth="1"/>
    <col min="3065" max="3065" width="13.5546875" style="342" customWidth="1"/>
    <col min="3066" max="3066" width="13.77734375" style="342" customWidth="1"/>
    <col min="3067" max="3067" width="13.21875" style="342" customWidth="1"/>
    <col min="3068" max="3068" width="19.5546875" style="342" customWidth="1"/>
    <col min="3069" max="3069" width="18.21875" style="342" customWidth="1"/>
    <col min="3070" max="3070" width="7.5546875" style="342" customWidth="1"/>
    <col min="3071" max="3071" width="15.5546875" style="342" customWidth="1"/>
    <col min="3072" max="3072" width="16.21875" style="342" customWidth="1"/>
    <col min="3073" max="3073" width="12.5546875" style="342" customWidth="1"/>
    <col min="3074" max="3316" width="8.88671875" style="342"/>
    <col min="3317" max="3318" width="11.5546875" style="342" bestFit="1" customWidth="1"/>
    <col min="3319" max="3319" width="6.21875" style="342" customWidth="1"/>
    <col min="3320" max="3320" width="10.77734375" style="342" customWidth="1"/>
    <col min="3321" max="3321" width="13.5546875" style="342" customWidth="1"/>
    <col min="3322" max="3322" width="13.77734375" style="342" customWidth="1"/>
    <col min="3323" max="3323" width="13.21875" style="342" customWidth="1"/>
    <col min="3324" max="3324" width="19.5546875" style="342" customWidth="1"/>
    <col min="3325" max="3325" width="18.21875" style="342" customWidth="1"/>
    <col min="3326" max="3326" width="7.5546875" style="342" customWidth="1"/>
    <col min="3327" max="3327" width="15.5546875" style="342" customWidth="1"/>
    <col min="3328" max="3328" width="16.21875" style="342" customWidth="1"/>
    <col min="3329" max="3329" width="12.5546875" style="342" customWidth="1"/>
    <col min="3330" max="3572" width="8.88671875" style="342"/>
    <col min="3573" max="3574" width="11.5546875" style="342" bestFit="1" customWidth="1"/>
    <col min="3575" max="3575" width="6.21875" style="342" customWidth="1"/>
    <col min="3576" max="3576" width="10.77734375" style="342" customWidth="1"/>
    <col min="3577" max="3577" width="13.5546875" style="342" customWidth="1"/>
    <col min="3578" max="3578" width="13.77734375" style="342" customWidth="1"/>
    <col min="3579" max="3579" width="13.21875" style="342" customWidth="1"/>
    <col min="3580" max="3580" width="19.5546875" style="342" customWidth="1"/>
    <col min="3581" max="3581" width="18.21875" style="342" customWidth="1"/>
    <col min="3582" max="3582" width="7.5546875" style="342" customWidth="1"/>
    <col min="3583" max="3583" width="15.5546875" style="342" customWidth="1"/>
    <col min="3584" max="3584" width="16.21875" style="342" customWidth="1"/>
    <col min="3585" max="3585" width="12.5546875" style="342" customWidth="1"/>
    <col min="3586" max="3828" width="8.88671875" style="342"/>
    <col min="3829" max="3830" width="11.5546875" style="342" bestFit="1" customWidth="1"/>
    <col min="3831" max="3831" width="6.21875" style="342" customWidth="1"/>
    <col min="3832" max="3832" width="10.77734375" style="342" customWidth="1"/>
    <col min="3833" max="3833" width="13.5546875" style="342" customWidth="1"/>
    <col min="3834" max="3834" width="13.77734375" style="342" customWidth="1"/>
    <col min="3835" max="3835" width="13.21875" style="342" customWidth="1"/>
    <col min="3836" max="3836" width="19.5546875" style="342" customWidth="1"/>
    <col min="3837" max="3837" width="18.21875" style="342" customWidth="1"/>
    <col min="3838" max="3838" width="7.5546875" style="342" customWidth="1"/>
    <col min="3839" max="3839" width="15.5546875" style="342" customWidth="1"/>
    <col min="3840" max="3840" width="16.21875" style="342" customWidth="1"/>
    <col min="3841" max="3841" width="12.5546875" style="342" customWidth="1"/>
    <col min="3842" max="4084" width="8.88671875" style="342"/>
    <col min="4085" max="4086" width="11.5546875" style="342" bestFit="1" customWidth="1"/>
    <col min="4087" max="4087" width="6.21875" style="342" customWidth="1"/>
    <col min="4088" max="4088" width="10.77734375" style="342" customWidth="1"/>
    <col min="4089" max="4089" width="13.5546875" style="342" customWidth="1"/>
    <col min="4090" max="4090" width="13.77734375" style="342" customWidth="1"/>
    <col min="4091" max="4091" width="13.21875" style="342" customWidth="1"/>
    <col min="4092" max="4092" width="19.5546875" style="342" customWidth="1"/>
    <col min="4093" max="4093" width="18.21875" style="342" customWidth="1"/>
    <col min="4094" max="4094" width="7.5546875" style="342" customWidth="1"/>
    <col min="4095" max="4095" width="15.5546875" style="342" customWidth="1"/>
    <col min="4096" max="4096" width="16.21875" style="342" customWidth="1"/>
    <col min="4097" max="4097" width="12.5546875" style="342" customWidth="1"/>
    <col min="4098" max="4340" width="8.88671875" style="342"/>
    <col min="4341" max="4342" width="11.5546875" style="342" bestFit="1" customWidth="1"/>
    <col min="4343" max="4343" width="6.21875" style="342" customWidth="1"/>
    <col min="4344" max="4344" width="10.77734375" style="342" customWidth="1"/>
    <col min="4345" max="4345" width="13.5546875" style="342" customWidth="1"/>
    <col min="4346" max="4346" width="13.77734375" style="342" customWidth="1"/>
    <col min="4347" max="4347" width="13.21875" style="342" customWidth="1"/>
    <col min="4348" max="4348" width="19.5546875" style="342" customWidth="1"/>
    <col min="4349" max="4349" width="18.21875" style="342" customWidth="1"/>
    <col min="4350" max="4350" width="7.5546875" style="342" customWidth="1"/>
    <col min="4351" max="4351" width="15.5546875" style="342" customWidth="1"/>
    <col min="4352" max="4352" width="16.21875" style="342" customWidth="1"/>
    <col min="4353" max="4353" width="12.5546875" style="342" customWidth="1"/>
    <col min="4354" max="4596" width="8.88671875" style="342"/>
    <col min="4597" max="4598" width="11.5546875" style="342" bestFit="1" customWidth="1"/>
    <col min="4599" max="4599" width="6.21875" style="342" customWidth="1"/>
    <col min="4600" max="4600" width="10.77734375" style="342" customWidth="1"/>
    <col min="4601" max="4601" width="13.5546875" style="342" customWidth="1"/>
    <col min="4602" max="4602" width="13.77734375" style="342" customWidth="1"/>
    <col min="4603" max="4603" width="13.21875" style="342" customWidth="1"/>
    <col min="4604" max="4604" width="19.5546875" style="342" customWidth="1"/>
    <col min="4605" max="4605" width="18.21875" style="342" customWidth="1"/>
    <col min="4606" max="4606" width="7.5546875" style="342" customWidth="1"/>
    <col min="4607" max="4607" width="15.5546875" style="342" customWidth="1"/>
    <col min="4608" max="4608" width="16.21875" style="342" customWidth="1"/>
    <col min="4609" max="4609" width="12.5546875" style="342" customWidth="1"/>
    <col min="4610" max="4852" width="8.88671875" style="342"/>
    <col min="4853" max="4854" width="11.5546875" style="342" bestFit="1" customWidth="1"/>
    <col min="4855" max="4855" width="6.21875" style="342" customWidth="1"/>
    <col min="4856" max="4856" width="10.77734375" style="342" customWidth="1"/>
    <col min="4857" max="4857" width="13.5546875" style="342" customWidth="1"/>
    <col min="4858" max="4858" width="13.77734375" style="342" customWidth="1"/>
    <col min="4859" max="4859" width="13.21875" style="342" customWidth="1"/>
    <col min="4860" max="4860" width="19.5546875" style="342" customWidth="1"/>
    <col min="4861" max="4861" width="18.21875" style="342" customWidth="1"/>
    <col min="4862" max="4862" width="7.5546875" style="342" customWidth="1"/>
    <col min="4863" max="4863" width="15.5546875" style="342" customWidth="1"/>
    <col min="4864" max="4864" width="16.21875" style="342" customWidth="1"/>
    <col min="4865" max="4865" width="12.5546875" style="342" customWidth="1"/>
    <col min="4866" max="5108" width="8.88671875" style="342"/>
    <col min="5109" max="5110" width="11.5546875" style="342" bestFit="1" customWidth="1"/>
    <col min="5111" max="5111" width="6.21875" style="342" customWidth="1"/>
    <col min="5112" max="5112" width="10.77734375" style="342" customWidth="1"/>
    <col min="5113" max="5113" width="13.5546875" style="342" customWidth="1"/>
    <col min="5114" max="5114" width="13.77734375" style="342" customWidth="1"/>
    <col min="5115" max="5115" width="13.21875" style="342" customWidth="1"/>
    <col min="5116" max="5116" width="19.5546875" style="342" customWidth="1"/>
    <col min="5117" max="5117" width="18.21875" style="342" customWidth="1"/>
    <col min="5118" max="5118" width="7.5546875" style="342" customWidth="1"/>
    <col min="5119" max="5119" width="15.5546875" style="342" customWidth="1"/>
    <col min="5120" max="5120" width="16.21875" style="342" customWidth="1"/>
    <col min="5121" max="5121" width="12.5546875" style="342" customWidth="1"/>
    <col min="5122" max="5364" width="8.88671875" style="342"/>
    <col min="5365" max="5366" width="11.5546875" style="342" bestFit="1" customWidth="1"/>
    <col min="5367" max="5367" width="6.21875" style="342" customWidth="1"/>
    <col min="5368" max="5368" width="10.77734375" style="342" customWidth="1"/>
    <col min="5369" max="5369" width="13.5546875" style="342" customWidth="1"/>
    <col min="5370" max="5370" width="13.77734375" style="342" customWidth="1"/>
    <col min="5371" max="5371" width="13.21875" style="342" customWidth="1"/>
    <col min="5372" max="5372" width="19.5546875" style="342" customWidth="1"/>
    <col min="5373" max="5373" width="18.21875" style="342" customWidth="1"/>
    <col min="5374" max="5374" width="7.5546875" style="342" customWidth="1"/>
    <col min="5375" max="5375" width="15.5546875" style="342" customWidth="1"/>
    <col min="5376" max="5376" width="16.21875" style="342" customWidth="1"/>
    <col min="5377" max="5377" width="12.5546875" style="342" customWidth="1"/>
    <col min="5378" max="5620" width="8.88671875" style="342"/>
    <col min="5621" max="5622" width="11.5546875" style="342" bestFit="1" customWidth="1"/>
    <col min="5623" max="5623" width="6.21875" style="342" customWidth="1"/>
    <col min="5624" max="5624" width="10.77734375" style="342" customWidth="1"/>
    <col min="5625" max="5625" width="13.5546875" style="342" customWidth="1"/>
    <col min="5626" max="5626" width="13.77734375" style="342" customWidth="1"/>
    <col min="5627" max="5627" width="13.21875" style="342" customWidth="1"/>
    <col min="5628" max="5628" width="19.5546875" style="342" customWidth="1"/>
    <col min="5629" max="5629" width="18.21875" style="342" customWidth="1"/>
    <col min="5630" max="5630" width="7.5546875" style="342" customWidth="1"/>
    <col min="5631" max="5631" width="15.5546875" style="342" customWidth="1"/>
    <col min="5632" max="5632" width="16.21875" style="342" customWidth="1"/>
    <col min="5633" max="5633" width="12.5546875" style="342" customWidth="1"/>
    <col min="5634" max="5876" width="8.88671875" style="342"/>
    <col min="5877" max="5878" width="11.5546875" style="342" bestFit="1" customWidth="1"/>
    <col min="5879" max="5879" width="6.21875" style="342" customWidth="1"/>
    <col min="5880" max="5880" width="10.77734375" style="342" customWidth="1"/>
    <col min="5881" max="5881" width="13.5546875" style="342" customWidth="1"/>
    <col min="5882" max="5882" width="13.77734375" style="342" customWidth="1"/>
    <col min="5883" max="5883" width="13.21875" style="342" customWidth="1"/>
    <col min="5884" max="5884" width="19.5546875" style="342" customWidth="1"/>
    <col min="5885" max="5885" width="18.21875" style="342" customWidth="1"/>
    <col min="5886" max="5886" width="7.5546875" style="342" customWidth="1"/>
    <col min="5887" max="5887" width="15.5546875" style="342" customWidth="1"/>
    <col min="5888" max="5888" width="16.21875" style="342" customWidth="1"/>
    <col min="5889" max="5889" width="12.5546875" style="342" customWidth="1"/>
    <col min="5890" max="6132" width="8.88671875" style="342"/>
    <col min="6133" max="6134" width="11.5546875" style="342" bestFit="1" customWidth="1"/>
    <col min="6135" max="6135" width="6.21875" style="342" customWidth="1"/>
    <col min="6136" max="6136" width="10.77734375" style="342" customWidth="1"/>
    <col min="6137" max="6137" width="13.5546875" style="342" customWidth="1"/>
    <col min="6138" max="6138" width="13.77734375" style="342" customWidth="1"/>
    <col min="6139" max="6139" width="13.21875" style="342" customWidth="1"/>
    <col min="6140" max="6140" width="19.5546875" style="342" customWidth="1"/>
    <col min="6141" max="6141" width="18.21875" style="342" customWidth="1"/>
    <col min="6142" max="6142" width="7.5546875" style="342" customWidth="1"/>
    <col min="6143" max="6143" width="15.5546875" style="342" customWidth="1"/>
    <col min="6144" max="6144" width="16.21875" style="342" customWidth="1"/>
    <col min="6145" max="6145" width="12.5546875" style="342" customWidth="1"/>
    <col min="6146" max="6388" width="8.88671875" style="342"/>
    <col min="6389" max="6390" width="11.5546875" style="342" bestFit="1" customWidth="1"/>
    <col min="6391" max="6391" width="6.21875" style="342" customWidth="1"/>
    <col min="6392" max="6392" width="10.77734375" style="342" customWidth="1"/>
    <col min="6393" max="6393" width="13.5546875" style="342" customWidth="1"/>
    <col min="6394" max="6394" width="13.77734375" style="342" customWidth="1"/>
    <col min="6395" max="6395" width="13.21875" style="342" customWidth="1"/>
    <col min="6396" max="6396" width="19.5546875" style="342" customWidth="1"/>
    <col min="6397" max="6397" width="18.21875" style="342" customWidth="1"/>
    <col min="6398" max="6398" width="7.5546875" style="342" customWidth="1"/>
    <col min="6399" max="6399" width="15.5546875" style="342" customWidth="1"/>
    <col min="6400" max="6400" width="16.21875" style="342" customWidth="1"/>
    <col min="6401" max="6401" width="12.5546875" style="342" customWidth="1"/>
    <col min="6402" max="6644" width="8.88671875" style="342"/>
    <col min="6645" max="6646" width="11.5546875" style="342" bestFit="1" customWidth="1"/>
    <col min="6647" max="6647" width="6.21875" style="342" customWidth="1"/>
    <col min="6648" max="6648" width="10.77734375" style="342" customWidth="1"/>
    <col min="6649" max="6649" width="13.5546875" style="342" customWidth="1"/>
    <col min="6650" max="6650" width="13.77734375" style="342" customWidth="1"/>
    <col min="6651" max="6651" width="13.21875" style="342" customWidth="1"/>
    <col min="6652" max="6652" width="19.5546875" style="342" customWidth="1"/>
    <col min="6653" max="6653" width="18.21875" style="342" customWidth="1"/>
    <col min="6654" max="6654" width="7.5546875" style="342" customWidth="1"/>
    <col min="6655" max="6655" width="15.5546875" style="342" customWidth="1"/>
    <col min="6656" max="6656" width="16.21875" style="342" customWidth="1"/>
    <col min="6657" max="6657" width="12.5546875" style="342" customWidth="1"/>
    <col min="6658" max="6900" width="8.88671875" style="342"/>
    <col min="6901" max="6902" width="11.5546875" style="342" bestFit="1" customWidth="1"/>
    <col min="6903" max="6903" width="6.21875" style="342" customWidth="1"/>
    <col min="6904" max="6904" width="10.77734375" style="342" customWidth="1"/>
    <col min="6905" max="6905" width="13.5546875" style="342" customWidth="1"/>
    <col min="6906" max="6906" width="13.77734375" style="342" customWidth="1"/>
    <col min="6907" max="6907" width="13.21875" style="342" customWidth="1"/>
    <col min="6908" max="6908" width="19.5546875" style="342" customWidth="1"/>
    <col min="6909" max="6909" width="18.21875" style="342" customWidth="1"/>
    <col min="6910" max="6910" width="7.5546875" style="342" customWidth="1"/>
    <col min="6911" max="6911" width="15.5546875" style="342" customWidth="1"/>
    <col min="6912" max="6912" width="16.21875" style="342" customWidth="1"/>
    <col min="6913" max="6913" width="12.5546875" style="342" customWidth="1"/>
    <col min="6914" max="7156" width="8.88671875" style="342"/>
    <col min="7157" max="7158" width="11.5546875" style="342" bestFit="1" customWidth="1"/>
    <col min="7159" max="7159" width="6.21875" style="342" customWidth="1"/>
    <col min="7160" max="7160" width="10.77734375" style="342" customWidth="1"/>
    <col min="7161" max="7161" width="13.5546875" style="342" customWidth="1"/>
    <col min="7162" max="7162" width="13.77734375" style="342" customWidth="1"/>
    <col min="7163" max="7163" width="13.21875" style="342" customWidth="1"/>
    <col min="7164" max="7164" width="19.5546875" style="342" customWidth="1"/>
    <col min="7165" max="7165" width="18.21875" style="342" customWidth="1"/>
    <col min="7166" max="7166" width="7.5546875" style="342" customWidth="1"/>
    <col min="7167" max="7167" width="15.5546875" style="342" customWidth="1"/>
    <col min="7168" max="7168" width="16.21875" style="342" customWidth="1"/>
    <col min="7169" max="7169" width="12.5546875" style="342" customWidth="1"/>
    <col min="7170" max="7412" width="8.88671875" style="342"/>
    <col min="7413" max="7414" width="11.5546875" style="342" bestFit="1" customWidth="1"/>
    <col min="7415" max="7415" width="6.21875" style="342" customWidth="1"/>
    <col min="7416" max="7416" width="10.77734375" style="342" customWidth="1"/>
    <col min="7417" max="7417" width="13.5546875" style="342" customWidth="1"/>
    <col min="7418" max="7418" width="13.77734375" style="342" customWidth="1"/>
    <col min="7419" max="7419" width="13.21875" style="342" customWidth="1"/>
    <col min="7420" max="7420" width="19.5546875" style="342" customWidth="1"/>
    <col min="7421" max="7421" width="18.21875" style="342" customWidth="1"/>
    <col min="7422" max="7422" width="7.5546875" style="342" customWidth="1"/>
    <col min="7423" max="7423" width="15.5546875" style="342" customWidth="1"/>
    <col min="7424" max="7424" width="16.21875" style="342" customWidth="1"/>
    <col min="7425" max="7425" width="12.5546875" style="342" customWidth="1"/>
    <col min="7426" max="7668" width="8.88671875" style="342"/>
    <col min="7669" max="7670" width="11.5546875" style="342" bestFit="1" customWidth="1"/>
    <col min="7671" max="7671" width="6.21875" style="342" customWidth="1"/>
    <col min="7672" max="7672" width="10.77734375" style="342" customWidth="1"/>
    <col min="7673" max="7673" width="13.5546875" style="342" customWidth="1"/>
    <col min="7674" max="7674" width="13.77734375" style="342" customWidth="1"/>
    <col min="7675" max="7675" width="13.21875" style="342" customWidth="1"/>
    <col min="7676" max="7676" width="19.5546875" style="342" customWidth="1"/>
    <col min="7677" max="7677" width="18.21875" style="342" customWidth="1"/>
    <col min="7678" max="7678" width="7.5546875" style="342" customWidth="1"/>
    <col min="7679" max="7679" width="15.5546875" style="342" customWidth="1"/>
    <col min="7680" max="7680" width="16.21875" style="342" customWidth="1"/>
    <col min="7681" max="7681" width="12.5546875" style="342" customWidth="1"/>
    <col min="7682" max="7924" width="8.88671875" style="342"/>
    <col min="7925" max="7926" width="11.5546875" style="342" bestFit="1" customWidth="1"/>
    <col min="7927" max="7927" width="6.21875" style="342" customWidth="1"/>
    <col min="7928" max="7928" width="10.77734375" style="342" customWidth="1"/>
    <col min="7929" max="7929" width="13.5546875" style="342" customWidth="1"/>
    <col min="7930" max="7930" width="13.77734375" style="342" customWidth="1"/>
    <col min="7931" max="7931" width="13.21875" style="342" customWidth="1"/>
    <col min="7932" max="7932" width="19.5546875" style="342" customWidth="1"/>
    <col min="7933" max="7933" width="18.21875" style="342" customWidth="1"/>
    <col min="7934" max="7934" width="7.5546875" style="342" customWidth="1"/>
    <col min="7935" max="7935" width="15.5546875" style="342" customWidth="1"/>
    <col min="7936" max="7936" width="16.21875" style="342" customWidth="1"/>
    <col min="7937" max="7937" width="12.5546875" style="342" customWidth="1"/>
    <col min="7938" max="8180" width="8.88671875" style="342"/>
    <col min="8181" max="8182" width="11.5546875" style="342" bestFit="1" customWidth="1"/>
    <col min="8183" max="8183" width="6.21875" style="342" customWidth="1"/>
    <col min="8184" max="8184" width="10.77734375" style="342" customWidth="1"/>
    <col min="8185" max="8185" width="13.5546875" style="342" customWidth="1"/>
    <col min="8186" max="8186" width="13.77734375" style="342" customWidth="1"/>
    <col min="8187" max="8187" width="13.21875" style="342" customWidth="1"/>
    <col min="8188" max="8188" width="19.5546875" style="342" customWidth="1"/>
    <col min="8189" max="8189" width="18.21875" style="342" customWidth="1"/>
    <col min="8190" max="8190" width="7.5546875" style="342" customWidth="1"/>
    <col min="8191" max="8191" width="15.5546875" style="342" customWidth="1"/>
    <col min="8192" max="8192" width="16.21875" style="342" customWidth="1"/>
    <col min="8193" max="8193" width="12.5546875" style="342" customWidth="1"/>
    <col min="8194" max="8436" width="8.88671875" style="342"/>
    <col min="8437" max="8438" width="11.5546875" style="342" bestFit="1" customWidth="1"/>
    <col min="8439" max="8439" width="6.21875" style="342" customWidth="1"/>
    <col min="8440" max="8440" width="10.77734375" style="342" customWidth="1"/>
    <col min="8441" max="8441" width="13.5546875" style="342" customWidth="1"/>
    <col min="8442" max="8442" width="13.77734375" style="342" customWidth="1"/>
    <col min="8443" max="8443" width="13.21875" style="342" customWidth="1"/>
    <col min="8444" max="8444" width="19.5546875" style="342" customWidth="1"/>
    <col min="8445" max="8445" width="18.21875" style="342" customWidth="1"/>
    <col min="8446" max="8446" width="7.5546875" style="342" customWidth="1"/>
    <col min="8447" max="8447" width="15.5546875" style="342" customWidth="1"/>
    <col min="8448" max="8448" width="16.21875" style="342" customWidth="1"/>
    <col min="8449" max="8449" width="12.5546875" style="342" customWidth="1"/>
    <col min="8450" max="8692" width="8.88671875" style="342"/>
    <col min="8693" max="8694" width="11.5546875" style="342" bestFit="1" customWidth="1"/>
    <col min="8695" max="8695" width="6.21875" style="342" customWidth="1"/>
    <col min="8696" max="8696" width="10.77734375" style="342" customWidth="1"/>
    <col min="8697" max="8697" width="13.5546875" style="342" customWidth="1"/>
    <col min="8698" max="8698" width="13.77734375" style="342" customWidth="1"/>
    <col min="8699" max="8699" width="13.21875" style="342" customWidth="1"/>
    <col min="8700" max="8700" width="19.5546875" style="342" customWidth="1"/>
    <col min="8701" max="8701" width="18.21875" style="342" customWidth="1"/>
    <col min="8702" max="8702" width="7.5546875" style="342" customWidth="1"/>
    <col min="8703" max="8703" width="15.5546875" style="342" customWidth="1"/>
    <col min="8704" max="8704" width="16.21875" style="342" customWidth="1"/>
    <col min="8705" max="8705" width="12.5546875" style="342" customWidth="1"/>
    <col min="8706" max="8948" width="8.88671875" style="342"/>
    <col min="8949" max="8950" width="11.5546875" style="342" bestFit="1" customWidth="1"/>
    <col min="8951" max="8951" width="6.21875" style="342" customWidth="1"/>
    <col min="8952" max="8952" width="10.77734375" style="342" customWidth="1"/>
    <col min="8953" max="8953" width="13.5546875" style="342" customWidth="1"/>
    <col min="8954" max="8954" width="13.77734375" style="342" customWidth="1"/>
    <col min="8955" max="8955" width="13.21875" style="342" customWidth="1"/>
    <col min="8956" max="8956" width="19.5546875" style="342" customWidth="1"/>
    <col min="8957" max="8957" width="18.21875" style="342" customWidth="1"/>
    <col min="8958" max="8958" width="7.5546875" style="342" customWidth="1"/>
    <col min="8959" max="8959" width="15.5546875" style="342" customWidth="1"/>
    <col min="8960" max="8960" width="16.21875" style="342" customWidth="1"/>
    <col min="8961" max="8961" width="12.5546875" style="342" customWidth="1"/>
    <col min="8962" max="9204" width="8.88671875" style="342"/>
    <col min="9205" max="9206" width="11.5546875" style="342" bestFit="1" customWidth="1"/>
    <col min="9207" max="9207" width="6.21875" style="342" customWidth="1"/>
    <col min="9208" max="9208" width="10.77734375" style="342" customWidth="1"/>
    <col min="9209" max="9209" width="13.5546875" style="342" customWidth="1"/>
    <col min="9210" max="9210" width="13.77734375" style="342" customWidth="1"/>
    <col min="9211" max="9211" width="13.21875" style="342" customWidth="1"/>
    <col min="9212" max="9212" width="19.5546875" style="342" customWidth="1"/>
    <col min="9213" max="9213" width="18.21875" style="342" customWidth="1"/>
    <col min="9214" max="9214" width="7.5546875" style="342" customWidth="1"/>
    <col min="9215" max="9215" width="15.5546875" style="342" customWidth="1"/>
    <col min="9216" max="9216" width="16.21875" style="342" customWidth="1"/>
    <col min="9217" max="9217" width="12.5546875" style="342" customWidth="1"/>
    <col min="9218" max="9460" width="8.88671875" style="342"/>
    <col min="9461" max="9462" width="11.5546875" style="342" bestFit="1" customWidth="1"/>
    <col min="9463" max="9463" width="6.21875" style="342" customWidth="1"/>
    <col min="9464" max="9464" width="10.77734375" style="342" customWidth="1"/>
    <col min="9465" max="9465" width="13.5546875" style="342" customWidth="1"/>
    <col min="9466" max="9466" width="13.77734375" style="342" customWidth="1"/>
    <col min="9467" max="9467" width="13.21875" style="342" customWidth="1"/>
    <col min="9468" max="9468" width="19.5546875" style="342" customWidth="1"/>
    <col min="9469" max="9469" width="18.21875" style="342" customWidth="1"/>
    <col min="9470" max="9470" width="7.5546875" style="342" customWidth="1"/>
    <col min="9471" max="9471" width="15.5546875" style="342" customWidth="1"/>
    <col min="9472" max="9472" width="16.21875" style="342" customWidth="1"/>
    <col min="9473" max="9473" width="12.5546875" style="342" customWidth="1"/>
    <col min="9474" max="9716" width="8.88671875" style="342"/>
    <col min="9717" max="9718" width="11.5546875" style="342" bestFit="1" customWidth="1"/>
    <col min="9719" max="9719" width="6.21875" style="342" customWidth="1"/>
    <col min="9720" max="9720" width="10.77734375" style="342" customWidth="1"/>
    <col min="9721" max="9721" width="13.5546875" style="342" customWidth="1"/>
    <col min="9722" max="9722" width="13.77734375" style="342" customWidth="1"/>
    <col min="9723" max="9723" width="13.21875" style="342" customWidth="1"/>
    <col min="9724" max="9724" width="19.5546875" style="342" customWidth="1"/>
    <col min="9725" max="9725" width="18.21875" style="342" customWidth="1"/>
    <col min="9726" max="9726" width="7.5546875" style="342" customWidth="1"/>
    <col min="9727" max="9727" width="15.5546875" style="342" customWidth="1"/>
    <col min="9728" max="9728" width="16.21875" style="342" customWidth="1"/>
    <col min="9729" max="9729" width="12.5546875" style="342" customWidth="1"/>
    <col min="9730" max="9972" width="8.88671875" style="342"/>
    <col min="9973" max="9974" width="11.5546875" style="342" bestFit="1" customWidth="1"/>
    <col min="9975" max="9975" width="6.21875" style="342" customWidth="1"/>
    <col min="9976" max="9976" width="10.77734375" style="342" customWidth="1"/>
    <col min="9977" max="9977" width="13.5546875" style="342" customWidth="1"/>
    <col min="9978" max="9978" width="13.77734375" style="342" customWidth="1"/>
    <col min="9979" max="9979" width="13.21875" style="342" customWidth="1"/>
    <col min="9980" max="9980" width="19.5546875" style="342" customWidth="1"/>
    <col min="9981" max="9981" width="18.21875" style="342" customWidth="1"/>
    <col min="9982" max="9982" width="7.5546875" style="342" customWidth="1"/>
    <col min="9983" max="9983" width="15.5546875" style="342" customWidth="1"/>
    <col min="9984" max="9984" width="16.21875" style="342" customWidth="1"/>
    <col min="9985" max="9985" width="12.5546875" style="342" customWidth="1"/>
    <col min="9986" max="10228" width="8.88671875" style="342"/>
    <col min="10229" max="10230" width="11.5546875" style="342" bestFit="1" customWidth="1"/>
    <col min="10231" max="10231" width="6.21875" style="342" customWidth="1"/>
    <col min="10232" max="10232" width="10.77734375" style="342" customWidth="1"/>
    <col min="10233" max="10233" width="13.5546875" style="342" customWidth="1"/>
    <col min="10234" max="10234" width="13.77734375" style="342" customWidth="1"/>
    <col min="10235" max="10235" width="13.21875" style="342" customWidth="1"/>
    <col min="10236" max="10236" width="19.5546875" style="342" customWidth="1"/>
    <col min="10237" max="10237" width="18.21875" style="342" customWidth="1"/>
    <col min="10238" max="10238" width="7.5546875" style="342" customWidth="1"/>
    <col min="10239" max="10239" width="15.5546875" style="342" customWidth="1"/>
    <col min="10240" max="10240" width="16.21875" style="342" customWidth="1"/>
    <col min="10241" max="10241" width="12.5546875" style="342" customWidth="1"/>
    <col min="10242" max="10484" width="8.88671875" style="342"/>
    <col min="10485" max="10486" width="11.5546875" style="342" bestFit="1" customWidth="1"/>
    <col min="10487" max="10487" width="6.21875" style="342" customWidth="1"/>
    <col min="10488" max="10488" width="10.77734375" style="342" customWidth="1"/>
    <col min="10489" max="10489" width="13.5546875" style="342" customWidth="1"/>
    <col min="10490" max="10490" width="13.77734375" style="342" customWidth="1"/>
    <col min="10491" max="10491" width="13.21875" style="342" customWidth="1"/>
    <col min="10492" max="10492" width="19.5546875" style="342" customWidth="1"/>
    <col min="10493" max="10493" width="18.21875" style="342" customWidth="1"/>
    <col min="10494" max="10494" width="7.5546875" style="342" customWidth="1"/>
    <col min="10495" max="10495" width="15.5546875" style="342" customWidth="1"/>
    <col min="10496" max="10496" width="16.21875" style="342" customWidth="1"/>
    <col min="10497" max="10497" width="12.5546875" style="342" customWidth="1"/>
    <col min="10498" max="10740" width="8.88671875" style="342"/>
    <col min="10741" max="10742" width="11.5546875" style="342" bestFit="1" customWidth="1"/>
    <col min="10743" max="10743" width="6.21875" style="342" customWidth="1"/>
    <col min="10744" max="10744" width="10.77734375" style="342" customWidth="1"/>
    <col min="10745" max="10745" width="13.5546875" style="342" customWidth="1"/>
    <col min="10746" max="10746" width="13.77734375" style="342" customWidth="1"/>
    <col min="10747" max="10747" width="13.21875" style="342" customWidth="1"/>
    <col min="10748" max="10748" width="19.5546875" style="342" customWidth="1"/>
    <col min="10749" max="10749" width="18.21875" style="342" customWidth="1"/>
    <col min="10750" max="10750" width="7.5546875" style="342" customWidth="1"/>
    <col min="10751" max="10751" width="15.5546875" style="342" customWidth="1"/>
    <col min="10752" max="10752" width="16.21875" style="342" customWidth="1"/>
    <col min="10753" max="10753" width="12.5546875" style="342" customWidth="1"/>
    <col min="10754" max="10996" width="8.88671875" style="342"/>
    <col min="10997" max="10998" width="11.5546875" style="342" bestFit="1" customWidth="1"/>
    <col min="10999" max="10999" width="6.21875" style="342" customWidth="1"/>
    <col min="11000" max="11000" width="10.77734375" style="342" customWidth="1"/>
    <col min="11001" max="11001" width="13.5546875" style="342" customWidth="1"/>
    <col min="11002" max="11002" width="13.77734375" style="342" customWidth="1"/>
    <col min="11003" max="11003" width="13.21875" style="342" customWidth="1"/>
    <col min="11004" max="11004" width="19.5546875" style="342" customWidth="1"/>
    <col min="11005" max="11005" width="18.21875" style="342" customWidth="1"/>
    <col min="11006" max="11006" width="7.5546875" style="342" customWidth="1"/>
    <col min="11007" max="11007" width="15.5546875" style="342" customWidth="1"/>
    <col min="11008" max="11008" width="16.21875" style="342" customWidth="1"/>
    <col min="11009" max="11009" width="12.5546875" style="342" customWidth="1"/>
    <col min="11010" max="11252" width="8.88671875" style="342"/>
    <col min="11253" max="11254" width="11.5546875" style="342" bestFit="1" customWidth="1"/>
    <col min="11255" max="11255" width="6.21875" style="342" customWidth="1"/>
    <col min="11256" max="11256" width="10.77734375" style="342" customWidth="1"/>
    <col min="11257" max="11257" width="13.5546875" style="342" customWidth="1"/>
    <col min="11258" max="11258" width="13.77734375" style="342" customWidth="1"/>
    <col min="11259" max="11259" width="13.21875" style="342" customWidth="1"/>
    <col min="11260" max="11260" width="19.5546875" style="342" customWidth="1"/>
    <col min="11261" max="11261" width="18.21875" style="342" customWidth="1"/>
    <col min="11262" max="11262" width="7.5546875" style="342" customWidth="1"/>
    <col min="11263" max="11263" width="15.5546875" style="342" customWidth="1"/>
    <col min="11264" max="11264" width="16.21875" style="342" customWidth="1"/>
    <col min="11265" max="11265" width="12.5546875" style="342" customWidth="1"/>
    <col min="11266" max="11508" width="8.88671875" style="342"/>
    <col min="11509" max="11510" width="11.5546875" style="342" bestFit="1" customWidth="1"/>
    <col min="11511" max="11511" width="6.21875" style="342" customWidth="1"/>
    <col min="11512" max="11512" width="10.77734375" style="342" customWidth="1"/>
    <col min="11513" max="11513" width="13.5546875" style="342" customWidth="1"/>
    <col min="11514" max="11514" width="13.77734375" style="342" customWidth="1"/>
    <col min="11515" max="11515" width="13.21875" style="342" customWidth="1"/>
    <col min="11516" max="11516" width="19.5546875" style="342" customWidth="1"/>
    <col min="11517" max="11517" width="18.21875" style="342" customWidth="1"/>
    <col min="11518" max="11518" width="7.5546875" style="342" customWidth="1"/>
    <col min="11519" max="11519" width="15.5546875" style="342" customWidth="1"/>
    <col min="11520" max="11520" width="16.21875" style="342" customWidth="1"/>
    <col min="11521" max="11521" width="12.5546875" style="342" customWidth="1"/>
    <col min="11522" max="11764" width="8.88671875" style="342"/>
    <col min="11765" max="11766" width="11.5546875" style="342" bestFit="1" customWidth="1"/>
    <col min="11767" max="11767" width="6.21875" style="342" customWidth="1"/>
    <col min="11768" max="11768" width="10.77734375" style="342" customWidth="1"/>
    <col min="11769" max="11769" width="13.5546875" style="342" customWidth="1"/>
    <col min="11770" max="11770" width="13.77734375" style="342" customWidth="1"/>
    <col min="11771" max="11771" width="13.21875" style="342" customWidth="1"/>
    <col min="11772" max="11772" width="19.5546875" style="342" customWidth="1"/>
    <col min="11773" max="11773" width="18.21875" style="342" customWidth="1"/>
    <col min="11774" max="11774" width="7.5546875" style="342" customWidth="1"/>
    <col min="11775" max="11775" width="15.5546875" style="342" customWidth="1"/>
    <col min="11776" max="11776" width="16.21875" style="342" customWidth="1"/>
    <col min="11777" max="11777" width="12.5546875" style="342" customWidth="1"/>
    <col min="11778" max="12020" width="8.88671875" style="342"/>
    <col min="12021" max="12022" width="11.5546875" style="342" bestFit="1" customWidth="1"/>
    <col min="12023" max="12023" width="6.21875" style="342" customWidth="1"/>
    <col min="12024" max="12024" width="10.77734375" style="342" customWidth="1"/>
    <col min="12025" max="12025" width="13.5546875" style="342" customWidth="1"/>
    <col min="12026" max="12026" width="13.77734375" style="342" customWidth="1"/>
    <col min="12027" max="12027" width="13.21875" style="342" customWidth="1"/>
    <col min="12028" max="12028" width="19.5546875" style="342" customWidth="1"/>
    <col min="12029" max="12029" width="18.21875" style="342" customWidth="1"/>
    <col min="12030" max="12030" width="7.5546875" style="342" customWidth="1"/>
    <col min="12031" max="12031" width="15.5546875" style="342" customWidth="1"/>
    <col min="12032" max="12032" width="16.21875" style="342" customWidth="1"/>
    <col min="12033" max="12033" width="12.5546875" style="342" customWidth="1"/>
    <col min="12034" max="12276" width="8.88671875" style="342"/>
    <col min="12277" max="12278" width="11.5546875" style="342" bestFit="1" customWidth="1"/>
    <col min="12279" max="12279" width="6.21875" style="342" customWidth="1"/>
    <col min="12280" max="12280" width="10.77734375" style="342" customWidth="1"/>
    <col min="12281" max="12281" width="13.5546875" style="342" customWidth="1"/>
    <col min="12282" max="12282" width="13.77734375" style="342" customWidth="1"/>
    <col min="12283" max="12283" width="13.21875" style="342" customWidth="1"/>
    <col min="12284" max="12284" width="19.5546875" style="342" customWidth="1"/>
    <col min="12285" max="12285" width="18.21875" style="342" customWidth="1"/>
    <col min="12286" max="12286" width="7.5546875" style="342" customWidth="1"/>
    <col min="12287" max="12287" width="15.5546875" style="342" customWidth="1"/>
    <col min="12288" max="12288" width="16.21875" style="342" customWidth="1"/>
    <col min="12289" max="12289" width="12.5546875" style="342" customWidth="1"/>
    <col min="12290" max="12532" width="8.88671875" style="342"/>
    <col min="12533" max="12534" width="11.5546875" style="342" bestFit="1" customWidth="1"/>
    <col min="12535" max="12535" width="6.21875" style="342" customWidth="1"/>
    <col min="12536" max="12536" width="10.77734375" style="342" customWidth="1"/>
    <col min="12537" max="12537" width="13.5546875" style="342" customWidth="1"/>
    <col min="12538" max="12538" width="13.77734375" style="342" customWidth="1"/>
    <col min="12539" max="12539" width="13.21875" style="342" customWidth="1"/>
    <col min="12540" max="12540" width="19.5546875" style="342" customWidth="1"/>
    <col min="12541" max="12541" width="18.21875" style="342" customWidth="1"/>
    <col min="12542" max="12542" width="7.5546875" style="342" customWidth="1"/>
    <col min="12543" max="12543" width="15.5546875" style="342" customWidth="1"/>
    <col min="12544" max="12544" width="16.21875" style="342" customWidth="1"/>
    <col min="12545" max="12545" width="12.5546875" style="342" customWidth="1"/>
    <col min="12546" max="12788" width="8.88671875" style="342"/>
    <col min="12789" max="12790" width="11.5546875" style="342" bestFit="1" customWidth="1"/>
    <col min="12791" max="12791" width="6.21875" style="342" customWidth="1"/>
    <col min="12792" max="12792" width="10.77734375" style="342" customWidth="1"/>
    <col min="12793" max="12793" width="13.5546875" style="342" customWidth="1"/>
    <col min="12794" max="12794" width="13.77734375" style="342" customWidth="1"/>
    <col min="12795" max="12795" width="13.21875" style="342" customWidth="1"/>
    <col min="12796" max="12796" width="19.5546875" style="342" customWidth="1"/>
    <col min="12797" max="12797" width="18.21875" style="342" customWidth="1"/>
    <col min="12798" max="12798" width="7.5546875" style="342" customWidth="1"/>
    <col min="12799" max="12799" width="15.5546875" style="342" customWidth="1"/>
    <col min="12800" max="12800" width="16.21875" style="342" customWidth="1"/>
    <col min="12801" max="12801" width="12.5546875" style="342" customWidth="1"/>
    <col min="12802" max="13044" width="8.88671875" style="342"/>
    <col min="13045" max="13046" width="11.5546875" style="342" bestFit="1" customWidth="1"/>
    <col min="13047" max="13047" width="6.21875" style="342" customWidth="1"/>
    <col min="13048" max="13048" width="10.77734375" style="342" customWidth="1"/>
    <col min="13049" max="13049" width="13.5546875" style="342" customWidth="1"/>
    <col min="13050" max="13050" width="13.77734375" style="342" customWidth="1"/>
    <col min="13051" max="13051" width="13.21875" style="342" customWidth="1"/>
    <col min="13052" max="13052" width="19.5546875" style="342" customWidth="1"/>
    <col min="13053" max="13053" width="18.21875" style="342" customWidth="1"/>
    <col min="13054" max="13054" width="7.5546875" style="342" customWidth="1"/>
    <col min="13055" max="13055" width="15.5546875" style="342" customWidth="1"/>
    <col min="13056" max="13056" width="16.21875" style="342" customWidth="1"/>
    <col min="13057" max="13057" width="12.5546875" style="342" customWidth="1"/>
    <col min="13058" max="13300" width="8.88671875" style="342"/>
    <col min="13301" max="13302" width="11.5546875" style="342" bestFit="1" customWidth="1"/>
    <col min="13303" max="13303" width="6.21875" style="342" customWidth="1"/>
    <col min="13304" max="13304" width="10.77734375" style="342" customWidth="1"/>
    <col min="13305" max="13305" width="13.5546875" style="342" customWidth="1"/>
    <col min="13306" max="13306" width="13.77734375" style="342" customWidth="1"/>
    <col min="13307" max="13307" width="13.21875" style="342" customWidth="1"/>
    <col min="13308" max="13308" width="19.5546875" style="342" customWidth="1"/>
    <col min="13309" max="13309" width="18.21875" style="342" customWidth="1"/>
    <col min="13310" max="13310" width="7.5546875" style="342" customWidth="1"/>
    <col min="13311" max="13311" width="15.5546875" style="342" customWidth="1"/>
    <col min="13312" max="13312" width="16.21875" style="342" customWidth="1"/>
    <col min="13313" max="13313" width="12.5546875" style="342" customWidth="1"/>
    <col min="13314" max="13556" width="8.88671875" style="342"/>
    <col min="13557" max="13558" width="11.5546875" style="342" bestFit="1" customWidth="1"/>
    <col min="13559" max="13559" width="6.21875" style="342" customWidth="1"/>
    <col min="13560" max="13560" width="10.77734375" style="342" customWidth="1"/>
    <col min="13561" max="13561" width="13.5546875" style="342" customWidth="1"/>
    <col min="13562" max="13562" width="13.77734375" style="342" customWidth="1"/>
    <col min="13563" max="13563" width="13.21875" style="342" customWidth="1"/>
    <col min="13564" max="13564" width="19.5546875" style="342" customWidth="1"/>
    <col min="13565" max="13565" width="18.21875" style="342" customWidth="1"/>
    <col min="13566" max="13566" width="7.5546875" style="342" customWidth="1"/>
    <col min="13567" max="13567" width="15.5546875" style="342" customWidth="1"/>
    <col min="13568" max="13568" width="16.21875" style="342" customWidth="1"/>
    <col min="13569" max="13569" width="12.5546875" style="342" customWidth="1"/>
    <col min="13570" max="13812" width="8.88671875" style="342"/>
    <col min="13813" max="13814" width="11.5546875" style="342" bestFit="1" customWidth="1"/>
    <col min="13815" max="13815" width="6.21875" style="342" customWidth="1"/>
    <col min="13816" max="13816" width="10.77734375" style="342" customWidth="1"/>
    <col min="13817" max="13817" width="13.5546875" style="342" customWidth="1"/>
    <col min="13818" max="13818" width="13.77734375" style="342" customWidth="1"/>
    <col min="13819" max="13819" width="13.21875" style="342" customWidth="1"/>
    <col min="13820" max="13820" width="19.5546875" style="342" customWidth="1"/>
    <col min="13821" max="13821" width="18.21875" style="342" customWidth="1"/>
    <col min="13822" max="13822" width="7.5546875" style="342" customWidth="1"/>
    <col min="13823" max="13823" width="15.5546875" style="342" customWidth="1"/>
    <col min="13824" max="13824" width="16.21875" style="342" customWidth="1"/>
    <col min="13825" max="13825" width="12.5546875" style="342" customWidth="1"/>
    <col min="13826" max="14068" width="8.88671875" style="342"/>
    <col min="14069" max="14070" width="11.5546875" style="342" bestFit="1" customWidth="1"/>
    <col min="14071" max="14071" width="6.21875" style="342" customWidth="1"/>
    <col min="14072" max="14072" width="10.77734375" style="342" customWidth="1"/>
    <col min="14073" max="14073" width="13.5546875" style="342" customWidth="1"/>
    <col min="14074" max="14074" width="13.77734375" style="342" customWidth="1"/>
    <col min="14075" max="14075" width="13.21875" style="342" customWidth="1"/>
    <col min="14076" max="14076" width="19.5546875" style="342" customWidth="1"/>
    <col min="14077" max="14077" width="18.21875" style="342" customWidth="1"/>
    <col min="14078" max="14078" width="7.5546875" style="342" customWidth="1"/>
    <col min="14079" max="14079" width="15.5546875" style="342" customWidth="1"/>
    <col min="14080" max="14080" width="16.21875" style="342" customWidth="1"/>
    <col min="14081" max="14081" width="12.5546875" style="342" customWidth="1"/>
    <col min="14082" max="14324" width="8.88671875" style="342"/>
    <col min="14325" max="14326" width="11.5546875" style="342" bestFit="1" customWidth="1"/>
    <col min="14327" max="14327" width="6.21875" style="342" customWidth="1"/>
    <col min="14328" max="14328" width="10.77734375" style="342" customWidth="1"/>
    <col min="14329" max="14329" width="13.5546875" style="342" customWidth="1"/>
    <col min="14330" max="14330" width="13.77734375" style="342" customWidth="1"/>
    <col min="14331" max="14331" width="13.21875" style="342" customWidth="1"/>
    <col min="14332" max="14332" width="19.5546875" style="342" customWidth="1"/>
    <col min="14333" max="14333" width="18.21875" style="342" customWidth="1"/>
    <col min="14334" max="14334" width="7.5546875" style="342" customWidth="1"/>
    <col min="14335" max="14335" width="15.5546875" style="342" customWidth="1"/>
    <col min="14336" max="14336" width="16.21875" style="342" customWidth="1"/>
    <col min="14337" max="14337" width="12.5546875" style="342" customWidth="1"/>
    <col min="14338" max="14580" width="8.88671875" style="342"/>
    <col min="14581" max="14582" width="11.5546875" style="342" bestFit="1" customWidth="1"/>
    <col min="14583" max="14583" width="6.21875" style="342" customWidth="1"/>
    <col min="14584" max="14584" width="10.77734375" style="342" customWidth="1"/>
    <col min="14585" max="14585" width="13.5546875" style="342" customWidth="1"/>
    <col min="14586" max="14586" width="13.77734375" style="342" customWidth="1"/>
    <col min="14587" max="14587" width="13.21875" style="342" customWidth="1"/>
    <col min="14588" max="14588" width="19.5546875" style="342" customWidth="1"/>
    <col min="14589" max="14589" width="18.21875" style="342" customWidth="1"/>
    <col min="14590" max="14590" width="7.5546875" style="342" customWidth="1"/>
    <col min="14591" max="14591" width="15.5546875" style="342" customWidth="1"/>
    <col min="14592" max="14592" width="16.21875" style="342" customWidth="1"/>
    <col min="14593" max="14593" width="12.5546875" style="342" customWidth="1"/>
    <col min="14594" max="14836" width="8.88671875" style="342"/>
    <col min="14837" max="14838" width="11.5546875" style="342" bestFit="1" customWidth="1"/>
    <col min="14839" max="14839" width="6.21875" style="342" customWidth="1"/>
    <col min="14840" max="14840" width="10.77734375" style="342" customWidth="1"/>
    <col min="14841" max="14841" width="13.5546875" style="342" customWidth="1"/>
    <col min="14842" max="14842" width="13.77734375" style="342" customWidth="1"/>
    <col min="14843" max="14843" width="13.21875" style="342" customWidth="1"/>
    <col min="14844" max="14844" width="19.5546875" style="342" customWidth="1"/>
    <col min="14845" max="14845" width="18.21875" style="342" customWidth="1"/>
    <col min="14846" max="14846" width="7.5546875" style="342" customWidth="1"/>
    <col min="14847" max="14847" width="15.5546875" style="342" customWidth="1"/>
    <col min="14848" max="14848" width="16.21875" style="342" customWidth="1"/>
    <col min="14849" max="14849" width="12.5546875" style="342" customWidth="1"/>
    <col min="14850" max="15092" width="8.88671875" style="342"/>
    <col min="15093" max="15094" width="11.5546875" style="342" bestFit="1" customWidth="1"/>
    <col min="15095" max="15095" width="6.21875" style="342" customWidth="1"/>
    <col min="15096" max="15096" width="10.77734375" style="342" customWidth="1"/>
    <col min="15097" max="15097" width="13.5546875" style="342" customWidth="1"/>
    <col min="15098" max="15098" width="13.77734375" style="342" customWidth="1"/>
    <col min="15099" max="15099" width="13.21875" style="342" customWidth="1"/>
    <col min="15100" max="15100" width="19.5546875" style="342" customWidth="1"/>
    <col min="15101" max="15101" width="18.21875" style="342" customWidth="1"/>
    <col min="15102" max="15102" width="7.5546875" style="342" customWidth="1"/>
    <col min="15103" max="15103" width="15.5546875" style="342" customWidth="1"/>
    <col min="15104" max="15104" width="16.21875" style="342" customWidth="1"/>
    <col min="15105" max="15105" width="12.5546875" style="342" customWidth="1"/>
    <col min="15106" max="15348" width="8.88671875" style="342"/>
    <col min="15349" max="15350" width="11.5546875" style="342" bestFit="1" customWidth="1"/>
    <col min="15351" max="15351" width="6.21875" style="342" customWidth="1"/>
    <col min="15352" max="15352" width="10.77734375" style="342" customWidth="1"/>
    <col min="15353" max="15353" width="13.5546875" style="342" customWidth="1"/>
    <col min="15354" max="15354" width="13.77734375" style="342" customWidth="1"/>
    <col min="15355" max="15355" width="13.21875" style="342" customWidth="1"/>
    <col min="15356" max="15356" width="19.5546875" style="342" customWidth="1"/>
    <col min="15357" max="15357" width="18.21875" style="342" customWidth="1"/>
    <col min="15358" max="15358" width="7.5546875" style="342" customWidth="1"/>
    <col min="15359" max="15359" width="15.5546875" style="342" customWidth="1"/>
    <col min="15360" max="15360" width="16.21875" style="342" customWidth="1"/>
    <col min="15361" max="15361" width="12.5546875" style="342" customWidth="1"/>
    <col min="15362" max="15604" width="8.88671875" style="342"/>
    <col min="15605" max="15606" width="11.5546875" style="342" bestFit="1" customWidth="1"/>
    <col min="15607" max="15607" width="6.21875" style="342" customWidth="1"/>
    <col min="15608" max="15608" width="10.77734375" style="342" customWidth="1"/>
    <col min="15609" max="15609" width="13.5546875" style="342" customWidth="1"/>
    <col min="15610" max="15610" width="13.77734375" style="342" customWidth="1"/>
    <col min="15611" max="15611" width="13.21875" style="342" customWidth="1"/>
    <col min="15612" max="15612" width="19.5546875" style="342" customWidth="1"/>
    <col min="15613" max="15613" width="18.21875" style="342" customWidth="1"/>
    <col min="15614" max="15614" width="7.5546875" style="342" customWidth="1"/>
    <col min="15615" max="15615" width="15.5546875" style="342" customWidth="1"/>
    <col min="15616" max="15616" width="16.21875" style="342" customWidth="1"/>
    <col min="15617" max="15617" width="12.5546875" style="342" customWidth="1"/>
    <col min="15618" max="15860" width="8.88671875" style="342"/>
    <col min="15861" max="15862" width="11.5546875" style="342" bestFit="1" customWidth="1"/>
    <col min="15863" max="15863" width="6.21875" style="342" customWidth="1"/>
    <col min="15864" max="15864" width="10.77734375" style="342" customWidth="1"/>
    <col min="15865" max="15865" width="13.5546875" style="342" customWidth="1"/>
    <col min="15866" max="15866" width="13.77734375" style="342" customWidth="1"/>
    <col min="15867" max="15867" width="13.21875" style="342" customWidth="1"/>
    <col min="15868" max="15868" width="19.5546875" style="342" customWidth="1"/>
    <col min="15869" max="15869" width="18.21875" style="342" customWidth="1"/>
    <col min="15870" max="15870" width="7.5546875" style="342" customWidth="1"/>
    <col min="15871" max="15871" width="15.5546875" style="342" customWidth="1"/>
    <col min="15872" max="15872" width="16.21875" style="342" customWidth="1"/>
    <col min="15873" max="15873" width="12.5546875" style="342" customWidth="1"/>
    <col min="15874" max="16116" width="8.88671875" style="342"/>
    <col min="16117" max="16118" width="11.5546875" style="342" bestFit="1" customWidth="1"/>
    <col min="16119" max="16119" width="6.21875" style="342" customWidth="1"/>
    <col min="16120" max="16120" width="10.77734375" style="342" customWidth="1"/>
    <col min="16121" max="16121" width="13.5546875" style="342" customWidth="1"/>
    <col min="16122" max="16122" width="13.77734375" style="342" customWidth="1"/>
    <col min="16123" max="16123" width="13.21875" style="342" customWidth="1"/>
    <col min="16124" max="16124" width="19.5546875" style="342" customWidth="1"/>
    <col min="16125" max="16125" width="18.21875" style="342" customWidth="1"/>
    <col min="16126" max="16126" width="7.5546875" style="342" customWidth="1"/>
    <col min="16127" max="16127" width="15.5546875" style="342" customWidth="1"/>
    <col min="16128" max="16128" width="16.21875" style="342" customWidth="1"/>
    <col min="16129" max="16129" width="12.5546875" style="342" customWidth="1"/>
    <col min="16130" max="16372" width="8.88671875" style="342"/>
    <col min="16373" max="16384" width="9.21875" style="342" customWidth="1"/>
  </cols>
  <sheetData>
    <row r="1" spans="1:18" ht="12" x14ac:dyDescent="0.3">
      <c r="A1" s="496" t="s">
        <v>1270</v>
      </c>
      <c r="B1" s="496"/>
      <c r="C1" s="496"/>
      <c r="D1" s="497" t="s">
        <v>1271</v>
      </c>
      <c r="E1" s="497"/>
      <c r="F1" s="497"/>
      <c r="G1" s="497"/>
      <c r="H1" s="497"/>
      <c r="I1" s="497"/>
      <c r="J1" s="497"/>
      <c r="K1" s="497"/>
      <c r="L1" s="497"/>
      <c r="M1" s="497"/>
      <c r="N1" s="341"/>
      <c r="O1" s="341"/>
    </row>
    <row r="2" spans="1:18" ht="6.75" customHeight="1" x14ac:dyDescent="0.3">
      <c r="A2" s="340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</row>
    <row r="3" spans="1:18" ht="12" x14ac:dyDescent="0.3">
      <c r="A3" s="496" t="s">
        <v>1272</v>
      </c>
      <c r="B3" s="496"/>
      <c r="C3" s="496"/>
      <c r="D3" s="497" t="s">
        <v>1273</v>
      </c>
      <c r="E3" s="497"/>
      <c r="F3" s="497"/>
      <c r="G3" s="497"/>
      <c r="H3" s="497"/>
      <c r="I3" s="497"/>
      <c r="J3" s="497"/>
      <c r="K3" s="497"/>
      <c r="L3" s="497"/>
      <c r="M3" s="497"/>
      <c r="N3" s="341"/>
      <c r="O3" s="341"/>
    </row>
    <row r="4" spans="1:18" ht="12" x14ac:dyDescent="0.3">
      <c r="A4" s="496" t="s">
        <v>1274</v>
      </c>
      <c r="B4" s="496"/>
      <c r="C4" s="496"/>
      <c r="D4" s="343">
        <v>1E-3</v>
      </c>
      <c r="E4" s="340"/>
      <c r="F4" s="340" t="s">
        <v>1275</v>
      </c>
      <c r="G4" s="340"/>
      <c r="H4" s="340"/>
      <c r="I4" s="341">
        <v>365</v>
      </c>
      <c r="J4" s="340"/>
      <c r="K4" s="340"/>
      <c r="L4" s="340"/>
      <c r="M4" s="344" t="s">
        <v>15</v>
      </c>
      <c r="N4" s="344"/>
      <c r="O4" s="344">
        <v>263900</v>
      </c>
      <c r="P4" s="345">
        <v>44516</v>
      </c>
    </row>
    <row r="5" spans="1:18" ht="10.8" thickBot="1" x14ac:dyDescent="0.25">
      <c r="O5" s="346">
        <v>5000</v>
      </c>
      <c r="P5" s="345">
        <v>44227</v>
      </c>
    </row>
    <row r="6" spans="1:18" s="350" customFormat="1" ht="36.6" thickBot="1" x14ac:dyDescent="0.35">
      <c r="A6" s="494" t="s">
        <v>26</v>
      </c>
      <c r="B6" s="495"/>
      <c r="C6" s="347" t="s">
        <v>1276</v>
      </c>
      <c r="D6" s="347" t="s">
        <v>1277</v>
      </c>
      <c r="E6" s="347" t="s">
        <v>1278</v>
      </c>
      <c r="F6" s="347" t="s">
        <v>1475</v>
      </c>
      <c r="G6" s="347" t="s">
        <v>1476</v>
      </c>
      <c r="H6" s="347" t="s">
        <v>1279</v>
      </c>
      <c r="I6" s="347" t="s">
        <v>1280</v>
      </c>
      <c r="J6" s="347" t="s">
        <v>1281</v>
      </c>
      <c r="K6" s="347" t="s">
        <v>1282</v>
      </c>
      <c r="L6" s="347" t="s">
        <v>1283</v>
      </c>
      <c r="M6" s="348" t="s">
        <v>1284</v>
      </c>
      <c r="N6" s="349"/>
      <c r="O6" s="349"/>
    </row>
    <row r="7" spans="1:18" ht="12" x14ac:dyDescent="0.3">
      <c r="A7" s="351"/>
      <c r="B7" s="352">
        <v>44516</v>
      </c>
      <c r="C7" s="353"/>
      <c r="D7" s="354"/>
      <c r="E7" s="355"/>
      <c r="F7" s="355"/>
      <c r="G7" s="355"/>
      <c r="H7" s="355"/>
      <c r="I7" s="355"/>
      <c r="J7" s="355">
        <v>30000000</v>
      </c>
      <c r="K7" s="356"/>
      <c r="L7" s="357"/>
      <c r="M7" s="358"/>
      <c r="N7" s="359"/>
      <c r="O7" s="359"/>
    </row>
    <row r="8" spans="1:18" ht="10.8" outlineLevel="1" x14ac:dyDescent="0.25">
      <c r="A8" s="360">
        <v>44517</v>
      </c>
      <c r="B8" s="361">
        <v>44561</v>
      </c>
      <c r="C8" s="362">
        <f t="shared" ref="C8:C34" si="0">IF(B8=0,"",B8-A8+1)</f>
        <v>45</v>
      </c>
      <c r="D8" s="363"/>
      <c r="E8" s="364"/>
      <c r="F8" s="364"/>
      <c r="G8" s="364"/>
      <c r="H8" s="364"/>
      <c r="I8" s="364"/>
      <c r="J8" s="365">
        <f>IF(C8="","",J7+E8+H8+I8)</f>
        <v>30000000</v>
      </c>
      <c r="K8" s="366">
        <f t="shared" ref="K8" si="1">IF(B8=0,"",$D$4)</f>
        <v>1E-3</v>
      </c>
      <c r="L8" s="365">
        <v>3698.6301369863013</v>
      </c>
      <c r="M8" s="367">
        <f>IF(L8="","",L7+L8-E8+F8)</f>
        <v>3698.6301369863013</v>
      </c>
      <c r="N8" s="368">
        <f>J7+L8+F8</f>
        <v>30003698.630136985</v>
      </c>
      <c r="O8" s="368">
        <f>J8+L8</f>
        <v>30003698.630136985</v>
      </c>
    </row>
    <row r="9" spans="1:18" ht="10.8" outlineLevel="1" x14ac:dyDescent="0.25">
      <c r="A9" s="360">
        <v>44562</v>
      </c>
      <c r="B9" s="361">
        <v>44620</v>
      </c>
      <c r="C9" s="362">
        <f t="shared" si="0"/>
        <v>59</v>
      </c>
      <c r="D9" s="363"/>
      <c r="E9" s="364"/>
      <c r="F9" s="364">
        <v>-3698.6301369863013</v>
      </c>
      <c r="G9" s="364"/>
      <c r="H9" s="364"/>
      <c r="I9" s="364"/>
      <c r="J9" s="365">
        <f>IF(C9="","",J8+E9+H9+I9)</f>
        <v>30000000</v>
      </c>
      <c r="K9" s="381">
        <v>5.0500000000000003E-2</v>
      </c>
      <c r="L9" s="365">
        <f t="shared" ref="L9:L34" si="2">IF(K9="","",J9*K9*C9/$I$4)</f>
        <v>244890.4109589041</v>
      </c>
      <c r="M9" s="367">
        <f>IF(L9="","",M8+L9-E9+F9)</f>
        <v>244890.4109589041</v>
      </c>
      <c r="N9" s="368">
        <f>N8+L9+F9</f>
        <v>30244890.410958905</v>
      </c>
      <c r="O9" s="368" t="s">
        <v>1428</v>
      </c>
    </row>
    <row r="10" spans="1:18" ht="10.8" outlineLevel="1" x14ac:dyDescent="0.25">
      <c r="A10" s="360">
        <v>44621</v>
      </c>
      <c r="B10" s="361">
        <v>44651</v>
      </c>
      <c r="C10" s="362">
        <f t="shared" si="0"/>
        <v>31</v>
      </c>
      <c r="D10" s="363"/>
      <c r="E10" s="364"/>
      <c r="F10" s="364"/>
      <c r="G10" s="364"/>
      <c r="H10" s="364"/>
      <c r="I10" s="364"/>
      <c r="J10" s="365">
        <f>IF(C10="","",J9+E10+H10+I10)</f>
        <v>30000000</v>
      </c>
      <c r="K10" s="366">
        <v>5.0500000000000003E-2</v>
      </c>
      <c r="L10" s="365">
        <f t="shared" si="2"/>
        <v>128671.23287671233</v>
      </c>
      <c r="M10" s="367">
        <f t="shared" ref="M10:M34" si="3">IF(L10="","",M9+L10-E10+F10)</f>
        <v>373561.64383561641</v>
      </c>
      <c r="N10" s="368">
        <f t="shared" ref="N10:N33" si="4">N9+L10+F10</f>
        <v>30373561.643835615</v>
      </c>
    </row>
    <row r="11" spans="1:18" ht="10.8" outlineLevel="1" x14ac:dyDescent="0.25">
      <c r="A11" s="360">
        <v>44652</v>
      </c>
      <c r="B11" s="361">
        <v>44742</v>
      </c>
      <c r="C11" s="362">
        <f t="shared" si="0"/>
        <v>91</v>
      </c>
      <c r="D11" s="363"/>
      <c r="E11" s="364"/>
      <c r="F11" s="364"/>
      <c r="G11" s="364"/>
      <c r="H11" s="364"/>
      <c r="I11" s="364"/>
      <c r="J11" s="365">
        <f>IF(C11="","",J9+E11+H11+I11)</f>
        <v>30000000</v>
      </c>
      <c r="K11" s="366">
        <v>5.0500000000000003E-2</v>
      </c>
      <c r="L11" s="365">
        <f t="shared" si="2"/>
        <v>377712.32876712328</v>
      </c>
      <c r="M11" s="367">
        <f t="shared" si="3"/>
        <v>751273.9726027397</v>
      </c>
      <c r="N11" s="368">
        <f t="shared" si="4"/>
        <v>30751273.97260274</v>
      </c>
      <c r="O11" s="368"/>
    </row>
    <row r="12" spans="1:18" ht="10.8" outlineLevel="1" x14ac:dyDescent="0.25">
      <c r="A12" s="360">
        <v>44743</v>
      </c>
      <c r="B12" s="361">
        <v>44834</v>
      </c>
      <c r="C12" s="362">
        <f t="shared" si="0"/>
        <v>92</v>
      </c>
      <c r="D12" s="363"/>
      <c r="E12" s="364"/>
      <c r="F12" s="364"/>
      <c r="G12" s="364"/>
      <c r="H12" s="364"/>
      <c r="I12" s="364"/>
      <c r="J12" s="365">
        <f t="shared" ref="J12:J34" si="5">IF(C12="","",J11+E12+H12+I12)</f>
        <v>30000000</v>
      </c>
      <c r="K12" s="366">
        <v>5.0500000000000003E-2</v>
      </c>
      <c r="L12" s="365">
        <f t="shared" si="2"/>
        <v>381863.01369863015</v>
      </c>
      <c r="M12" s="367">
        <f t="shared" si="3"/>
        <v>1133136.98630137</v>
      </c>
      <c r="N12" s="368">
        <f t="shared" si="4"/>
        <v>31133136.98630137</v>
      </c>
      <c r="O12" s="368"/>
    </row>
    <row r="13" spans="1:18" ht="10.8" outlineLevel="1" x14ac:dyDescent="0.25">
      <c r="A13" s="360">
        <v>44835</v>
      </c>
      <c r="B13" s="361">
        <v>44874</v>
      </c>
      <c r="C13" s="362">
        <f t="shared" si="0"/>
        <v>40</v>
      </c>
      <c r="D13" s="363"/>
      <c r="E13" s="364"/>
      <c r="F13" s="364">
        <v>-1350000</v>
      </c>
      <c r="G13" s="364"/>
      <c r="H13" s="364"/>
      <c r="I13" s="364"/>
      <c r="J13" s="365">
        <f t="shared" si="5"/>
        <v>30000000</v>
      </c>
      <c r="K13" s="366">
        <v>5.0500000000000003E-2</v>
      </c>
      <c r="L13" s="365">
        <f t="shared" si="2"/>
        <v>166027.39726027398</v>
      </c>
      <c r="M13" s="367">
        <f t="shared" si="3"/>
        <v>-50835.616438355995</v>
      </c>
      <c r="N13" s="368">
        <f t="shared" si="4"/>
        <v>29949164.383561645</v>
      </c>
      <c r="O13" s="368" t="s">
        <v>648</v>
      </c>
    </row>
    <row r="14" spans="1:18" ht="10.8" outlineLevel="1" x14ac:dyDescent="0.25">
      <c r="A14" s="360">
        <v>44875</v>
      </c>
      <c r="B14" s="361">
        <v>44926</v>
      </c>
      <c r="C14" s="362">
        <f t="shared" si="0"/>
        <v>52</v>
      </c>
      <c r="D14" s="363"/>
      <c r="E14" s="364"/>
      <c r="F14" s="364">
        <v>-165000</v>
      </c>
      <c r="G14" s="364">
        <v>-1450128.08</v>
      </c>
      <c r="H14" s="364"/>
      <c r="I14" s="364"/>
      <c r="J14" s="427">
        <f>IF(C14="","",J12+E14+H14+I14)</f>
        <v>30000000</v>
      </c>
      <c r="K14" s="366">
        <v>5.0500000000000003E-2</v>
      </c>
      <c r="L14" s="365">
        <f t="shared" si="2"/>
        <v>215835.61643835617</v>
      </c>
      <c r="M14" s="367">
        <f t="shared" si="3"/>
        <v>1.7462298274040222E-10</v>
      </c>
      <c r="N14" s="368">
        <f t="shared" si="4"/>
        <v>30000000</v>
      </c>
      <c r="O14" s="425">
        <f>G14-(F13+F14)</f>
        <v>64871.919999999925</v>
      </c>
      <c r="P14" s="426">
        <f>J14+O14</f>
        <v>30064871.920000002</v>
      </c>
    </row>
    <row r="15" spans="1:18" ht="10.8" outlineLevel="1" x14ac:dyDescent="0.25">
      <c r="A15" s="360">
        <v>44927</v>
      </c>
      <c r="B15" s="361">
        <v>45016</v>
      </c>
      <c r="C15" s="362">
        <f t="shared" si="0"/>
        <v>90</v>
      </c>
      <c r="D15" s="363"/>
      <c r="E15" s="364"/>
      <c r="F15" s="364"/>
      <c r="G15" s="364"/>
      <c r="H15" s="364"/>
      <c r="I15" s="364"/>
      <c r="J15" s="365">
        <f t="shared" si="5"/>
        <v>30000000</v>
      </c>
      <c r="K15" s="366">
        <v>5.0500000000000003E-2</v>
      </c>
      <c r="L15" s="365">
        <f t="shared" si="2"/>
        <v>373561.64383561641</v>
      </c>
      <c r="M15" s="367">
        <f t="shared" si="3"/>
        <v>373561.64383561659</v>
      </c>
      <c r="N15" s="368">
        <f t="shared" si="4"/>
        <v>30373561.643835615</v>
      </c>
      <c r="O15" s="368"/>
    </row>
    <row r="16" spans="1:18" ht="10.8" outlineLevel="1" x14ac:dyDescent="0.25">
      <c r="A16" s="360">
        <v>45017</v>
      </c>
      <c r="B16" s="361">
        <v>45107</v>
      </c>
      <c r="C16" s="362">
        <f>IF(B16=0,"",B16-A16+1)</f>
        <v>91</v>
      </c>
      <c r="D16" s="363"/>
      <c r="E16" s="364"/>
      <c r="F16" s="364"/>
      <c r="G16" s="364">
        <v>-73392.460000000006</v>
      </c>
      <c r="H16" s="364"/>
      <c r="I16" s="364"/>
      <c r="J16" s="365">
        <f t="shared" si="5"/>
        <v>30000000</v>
      </c>
      <c r="K16" s="366">
        <v>5.0500000000000003E-2</v>
      </c>
      <c r="L16" s="365">
        <f>IF(K16="","",J16*K16*C16/$I$4)+308.22</f>
        <v>378020.54876712325</v>
      </c>
      <c r="M16" s="367">
        <f t="shared" si="3"/>
        <v>751582.1926027399</v>
      </c>
      <c r="N16" s="368">
        <f t="shared" si="4"/>
        <v>30751582.192602739</v>
      </c>
      <c r="O16" s="436" t="s">
        <v>1561</v>
      </c>
      <c r="P16" s="436"/>
      <c r="Q16" s="436"/>
      <c r="R16" s="436"/>
    </row>
    <row r="17" spans="1:16" ht="10.8" outlineLevel="1" x14ac:dyDescent="0.25">
      <c r="A17" s="360">
        <v>45108</v>
      </c>
      <c r="B17" s="361">
        <v>45199</v>
      </c>
      <c r="C17" s="362">
        <f>IF(B17=0,"",B17-A17+1)</f>
        <v>92</v>
      </c>
      <c r="D17" s="363"/>
      <c r="E17" s="364"/>
      <c r="F17" s="364"/>
      <c r="G17" s="364"/>
      <c r="H17" s="364"/>
      <c r="I17" s="364"/>
      <c r="J17" s="365">
        <f t="shared" si="5"/>
        <v>30000000</v>
      </c>
      <c r="K17" s="381">
        <v>4.8000000000000001E-2</v>
      </c>
      <c r="L17" s="365">
        <f t="shared" si="2"/>
        <v>362958.90410958906</v>
      </c>
      <c r="M17" s="367">
        <f t="shared" si="3"/>
        <v>1114541.096712329</v>
      </c>
      <c r="N17" s="368">
        <f t="shared" si="4"/>
        <v>31114541.096712328</v>
      </c>
      <c r="O17" s="368"/>
    </row>
    <row r="18" spans="1:16" ht="10.8" outlineLevel="1" x14ac:dyDescent="0.25">
      <c r="A18" s="360">
        <v>45200</v>
      </c>
      <c r="B18" s="361">
        <v>45239</v>
      </c>
      <c r="C18" s="362">
        <f t="shared" si="0"/>
        <v>40</v>
      </c>
      <c r="D18" s="363"/>
      <c r="E18" s="364"/>
      <c r="F18" s="364">
        <v>-1350000</v>
      </c>
      <c r="G18" s="364">
        <v>-1350000</v>
      </c>
      <c r="H18" s="364"/>
      <c r="I18" s="364"/>
      <c r="J18" s="365">
        <f t="shared" si="5"/>
        <v>30000000</v>
      </c>
      <c r="K18" s="366">
        <f>K17</f>
        <v>4.8000000000000001E-2</v>
      </c>
      <c r="L18" s="365">
        <f t="shared" si="2"/>
        <v>157808.21917808219</v>
      </c>
      <c r="M18" s="367">
        <f t="shared" si="3"/>
        <v>-77650.684109588852</v>
      </c>
      <c r="N18" s="368">
        <f t="shared" si="4"/>
        <v>29922349.315890409</v>
      </c>
      <c r="O18" s="368"/>
    </row>
    <row r="19" spans="1:16" ht="10.8" outlineLevel="1" x14ac:dyDescent="0.25">
      <c r="A19" s="360">
        <v>45240</v>
      </c>
      <c r="B19" s="361">
        <v>45291</v>
      </c>
      <c r="C19" s="362">
        <f t="shared" si="0"/>
        <v>52</v>
      </c>
      <c r="D19" s="363"/>
      <c r="E19" s="364"/>
      <c r="F19" s="364">
        <v>-127500</v>
      </c>
      <c r="G19" s="364">
        <v>-35821.919999999998</v>
      </c>
      <c r="H19" s="364"/>
      <c r="I19" s="364"/>
      <c r="J19" s="365">
        <f t="shared" si="5"/>
        <v>30000000</v>
      </c>
      <c r="K19" s="366">
        <f t="shared" ref="K19:K34" si="6">K18</f>
        <v>4.8000000000000001E-2</v>
      </c>
      <c r="L19" s="365">
        <f>IF(K19="","",J19*K19*C19/$I$4)</f>
        <v>205150.68493150684</v>
      </c>
      <c r="M19" s="367">
        <f t="shared" si="3"/>
        <v>8.2191798719577491E-4</v>
      </c>
      <c r="N19" s="368">
        <f t="shared" si="4"/>
        <v>30000000.000821915</v>
      </c>
      <c r="O19" s="425">
        <f>G19+G18+G16-(F18+F19)</f>
        <v>18285.620000000112</v>
      </c>
      <c r="P19" s="426">
        <f>P14+O19</f>
        <v>30083157.540000003</v>
      </c>
    </row>
    <row r="20" spans="1:16" ht="10.8" outlineLevel="1" x14ac:dyDescent="0.25">
      <c r="A20" s="360">
        <v>45292</v>
      </c>
      <c r="B20" s="361">
        <v>45382</v>
      </c>
      <c r="C20" s="362">
        <v>90</v>
      </c>
      <c r="D20" s="363"/>
      <c r="E20" s="364"/>
      <c r="F20" s="364"/>
      <c r="G20" s="364"/>
      <c r="H20" s="364"/>
      <c r="I20" s="364"/>
      <c r="J20" s="365">
        <f t="shared" si="5"/>
        <v>30000000</v>
      </c>
      <c r="K20" s="366">
        <f t="shared" si="6"/>
        <v>4.8000000000000001E-2</v>
      </c>
      <c r="L20" s="365">
        <f t="shared" si="2"/>
        <v>355068.49315068492</v>
      </c>
      <c r="M20" s="367">
        <f t="shared" si="3"/>
        <v>355068.49397260288</v>
      </c>
      <c r="N20" s="368">
        <f t="shared" si="4"/>
        <v>30355068.4939726</v>
      </c>
      <c r="O20" s="368"/>
    </row>
    <row r="21" spans="1:16" ht="10.8" outlineLevel="1" x14ac:dyDescent="0.25">
      <c r="A21" s="360">
        <v>45383</v>
      </c>
      <c r="B21" s="361">
        <v>45473</v>
      </c>
      <c r="C21" s="362">
        <f t="shared" si="0"/>
        <v>91</v>
      </c>
      <c r="D21" s="363"/>
      <c r="E21" s="364"/>
      <c r="F21" s="364"/>
      <c r="G21" s="364">
        <v>-22684.93</v>
      </c>
      <c r="H21" s="364"/>
      <c r="I21" s="364"/>
      <c r="J21" s="365">
        <f t="shared" si="5"/>
        <v>30000000</v>
      </c>
      <c r="K21" s="366">
        <f t="shared" si="6"/>
        <v>4.8000000000000001E-2</v>
      </c>
      <c r="L21" s="365">
        <f t="shared" si="2"/>
        <v>359013.69863013696</v>
      </c>
      <c r="M21" s="367">
        <f t="shared" si="3"/>
        <v>714082.1926027399</v>
      </c>
      <c r="N21" s="368">
        <f t="shared" si="4"/>
        <v>30714082.192602735</v>
      </c>
      <c r="O21" s="368"/>
      <c r="P21" s="426">
        <f>P19+G21</f>
        <v>30060472.610000003</v>
      </c>
    </row>
    <row r="22" spans="1:16" ht="10.8" outlineLevel="1" x14ac:dyDescent="0.25">
      <c r="A22" s="360">
        <v>45474</v>
      </c>
      <c r="B22" s="361">
        <v>45565</v>
      </c>
      <c r="C22" s="362">
        <f t="shared" si="0"/>
        <v>92</v>
      </c>
      <c r="D22" s="363"/>
      <c r="E22" s="364"/>
      <c r="F22" s="364"/>
      <c r="G22" s="364"/>
      <c r="H22" s="364"/>
      <c r="I22" s="364"/>
      <c r="J22" s="365">
        <f t="shared" si="5"/>
        <v>30000000</v>
      </c>
      <c r="K22" s="366">
        <f t="shared" si="6"/>
        <v>4.8000000000000001E-2</v>
      </c>
      <c r="L22" s="365">
        <f t="shared" si="2"/>
        <v>362958.90410958906</v>
      </c>
      <c r="M22" s="367">
        <f t="shared" si="3"/>
        <v>1077041.096712329</v>
      </c>
      <c r="N22" s="368">
        <f t="shared" si="4"/>
        <v>31077041.096712325</v>
      </c>
      <c r="O22" s="368"/>
    </row>
    <row r="23" spans="1:16" ht="10.8" outlineLevel="1" x14ac:dyDescent="0.25">
      <c r="A23" s="360">
        <v>45566</v>
      </c>
      <c r="B23" s="361">
        <v>45605</v>
      </c>
      <c r="C23" s="362">
        <f t="shared" si="0"/>
        <v>40</v>
      </c>
      <c r="D23" s="363"/>
      <c r="E23" s="364"/>
      <c r="F23" s="364">
        <v>-1350000</v>
      </c>
      <c r="G23" s="364"/>
      <c r="H23" s="364"/>
      <c r="I23" s="364"/>
      <c r="J23" s="365">
        <f t="shared" si="5"/>
        <v>30000000</v>
      </c>
      <c r="K23" s="366">
        <f t="shared" si="6"/>
        <v>4.8000000000000001E-2</v>
      </c>
      <c r="L23" s="365">
        <f t="shared" si="2"/>
        <v>157808.21917808219</v>
      </c>
      <c r="M23" s="367">
        <f t="shared" si="3"/>
        <v>-115150.68410958885</v>
      </c>
      <c r="N23" s="368">
        <f t="shared" si="4"/>
        <v>29884849.315890405</v>
      </c>
      <c r="O23" s="368"/>
    </row>
    <row r="24" spans="1:16" ht="10.8" outlineLevel="1" x14ac:dyDescent="0.25">
      <c r="A24" s="360">
        <v>45606</v>
      </c>
      <c r="B24" s="361">
        <v>45657</v>
      </c>
      <c r="C24" s="362">
        <f t="shared" si="0"/>
        <v>52</v>
      </c>
      <c r="D24" s="363"/>
      <c r="E24" s="364"/>
      <c r="F24" s="364">
        <v>-90000</v>
      </c>
      <c r="G24" s="364"/>
      <c r="H24" s="364"/>
      <c r="I24" s="364"/>
      <c r="J24" s="365">
        <f t="shared" si="5"/>
        <v>30000000</v>
      </c>
      <c r="K24" s="366">
        <f t="shared" si="6"/>
        <v>4.8000000000000001E-2</v>
      </c>
      <c r="L24" s="365">
        <f t="shared" si="2"/>
        <v>205150.68493150684</v>
      </c>
      <c r="M24" s="367">
        <f t="shared" si="3"/>
        <v>8.2191798719577491E-4</v>
      </c>
      <c r="N24" s="368">
        <f t="shared" si="4"/>
        <v>30000000.000821911</v>
      </c>
      <c r="O24" s="368"/>
    </row>
    <row r="25" spans="1:16" ht="10.8" outlineLevel="1" x14ac:dyDescent="0.25">
      <c r="A25" s="360">
        <v>45658</v>
      </c>
      <c r="B25" s="361">
        <v>45747</v>
      </c>
      <c r="C25" s="362">
        <f t="shared" si="0"/>
        <v>90</v>
      </c>
      <c r="D25" s="363"/>
      <c r="E25" s="364"/>
      <c r="F25" s="364"/>
      <c r="G25" s="364"/>
      <c r="H25" s="364"/>
      <c r="I25" s="364"/>
      <c r="J25" s="365">
        <f t="shared" si="5"/>
        <v>30000000</v>
      </c>
      <c r="K25" s="366">
        <f t="shared" si="6"/>
        <v>4.8000000000000001E-2</v>
      </c>
      <c r="L25" s="365">
        <f t="shared" si="2"/>
        <v>355068.49315068492</v>
      </c>
      <c r="M25" s="367">
        <f t="shared" si="3"/>
        <v>355068.49397260288</v>
      </c>
      <c r="N25" s="368">
        <f t="shared" si="4"/>
        <v>30355068.493972596</v>
      </c>
      <c r="O25" s="368"/>
      <c r="P25" s="342" t="s">
        <v>1427</v>
      </c>
    </row>
    <row r="26" spans="1:16" ht="10.8" outlineLevel="1" x14ac:dyDescent="0.25">
      <c r="A26" s="360">
        <v>45748</v>
      </c>
      <c r="B26" s="361">
        <v>45838</v>
      </c>
      <c r="C26" s="362">
        <f t="shared" si="0"/>
        <v>91</v>
      </c>
      <c r="D26" s="363"/>
      <c r="E26" s="364"/>
      <c r="F26" s="364"/>
      <c r="G26" s="364"/>
      <c r="H26" s="364"/>
      <c r="I26" s="364"/>
      <c r="J26" s="365">
        <f t="shared" si="5"/>
        <v>30000000</v>
      </c>
      <c r="K26" s="366">
        <f t="shared" si="6"/>
        <v>4.8000000000000001E-2</v>
      </c>
      <c r="L26" s="365">
        <f t="shared" si="2"/>
        <v>359013.69863013696</v>
      </c>
      <c r="M26" s="367">
        <f t="shared" si="3"/>
        <v>714082.1926027399</v>
      </c>
      <c r="N26" s="368">
        <f t="shared" si="4"/>
        <v>30714082.192602731</v>
      </c>
      <c r="O26" s="368"/>
    </row>
    <row r="27" spans="1:16" ht="10.8" outlineLevel="1" x14ac:dyDescent="0.25">
      <c r="A27" s="360">
        <v>45839</v>
      </c>
      <c r="B27" s="361">
        <v>45930</v>
      </c>
      <c r="C27" s="362">
        <f t="shared" si="0"/>
        <v>92</v>
      </c>
      <c r="D27" s="363"/>
      <c r="E27" s="364"/>
      <c r="F27" s="364"/>
      <c r="G27" s="364"/>
      <c r="H27" s="364"/>
      <c r="I27" s="364"/>
      <c r="J27" s="365">
        <f t="shared" si="5"/>
        <v>30000000</v>
      </c>
      <c r="K27" s="366">
        <f t="shared" si="6"/>
        <v>4.8000000000000001E-2</v>
      </c>
      <c r="L27" s="365">
        <f t="shared" si="2"/>
        <v>362958.90410958906</v>
      </c>
      <c r="M27" s="367">
        <f t="shared" si="3"/>
        <v>1077041.096712329</v>
      </c>
      <c r="N27" s="368">
        <f t="shared" si="4"/>
        <v>31077041.096712321</v>
      </c>
      <c r="O27" s="368"/>
    </row>
    <row r="28" spans="1:16" ht="10.8" outlineLevel="1" x14ac:dyDescent="0.25">
      <c r="A28" s="360">
        <v>45931</v>
      </c>
      <c r="B28" s="361">
        <v>45970</v>
      </c>
      <c r="C28" s="362">
        <f t="shared" si="0"/>
        <v>40</v>
      </c>
      <c r="D28" s="363"/>
      <c r="E28" s="364"/>
      <c r="F28" s="364">
        <v>-1350000</v>
      </c>
      <c r="G28" s="364"/>
      <c r="H28" s="364"/>
      <c r="I28" s="364"/>
      <c r="J28" s="365">
        <f t="shared" si="5"/>
        <v>30000000</v>
      </c>
      <c r="K28" s="366">
        <f t="shared" si="6"/>
        <v>4.8000000000000001E-2</v>
      </c>
      <c r="L28" s="365">
        <f t="shared" si="2"/>
        <v>157808.21917808219</v>
      </c>
      <c r="M28" s="367">
        <f t="shared" si="3"/>
        <v>-115150.68410958885</v>
      </c>
      <c r="N28" s="368">
        <f t="shared" si="4"/>
        <v>29884849.315890402</v>
      </c>
      <c r="O28" s="368"/>
    </row>
    <row r="29" spans="1:16" ht="10.8" outlineLevel="1" x14ac:dyDescent="0.25">
      <c r="A29" s="360">
        <v>45971</v>
      </c>
      <c r="B29" s="361">
        <v>46022</v>
      </c>
      <c r="C29" s="362">
        <f t="shared" si="0"/>
        <v>52</v>
      </c>
      <c r="D29" s="363"/>
      <c r="E29" s="364"/>
      <c r="F29" s="364">
        <v>-90000</v>
      </c>
      <c r="G29" s="364"/>
      <c r="H29" s="364"/>
      <c r="I29" s="364"/>
      <c r="J29" s="365">
        <f t="shared" si="5"/>
        <v>30000000</v>
      </c>
      <c r="K29" s="366">
        <f t="shared" si="6"/>
        <v>4.8000000000000001E-2</v>
      </c>
      <c r="L29" s="365">
        <f t="shared" si="2"/>
        <v>205150.68493150684</v>
      </c>
      <c r="M29" s="367">
        <f t="shared" si="3"/>
        <v>8.2191798719577491E-4</v>
      </c>
      <c r="N29" s="368">
        <f t="shared" si="4"/>
        <v>30000000.000821907</v>
      </c>
      <c r="O29" s="368"/>
    </row>
    <row r="30" spans="1:16" ht="10.8" outlineLevel="1" x14ac:dyDescent="0.25">
      <c r="A30" s="360">
        <v>46023</v>
      </c>
      <c r="B30" s="361">
        <v>46112</v>
      </c>
      <c r="C30" s="362">
        <f t="shared" si="0"/>
        <v>90</v>
      </c>
      <c r="D30" s="363"/>
      <c r="E30" s="364"/>
      <c r="F30" s="364"/>
      <c r="G30" s="364"/>
      <c r="H30" s="364"/>
      <c r="I30" s="364"/>
      <c r="J30" s="365">
        <f t="shared" si="5"/>
        <v>30000000</v>
      </c>
      <c r="K30" s="366">
        <f t="shared" si="6"/>
        <v>4.8000000000000001E-2</v>
      </c>
      <c r="L30" s="365">
        <f t="shared" si="2"/>
        <v>355068.49315068492</v>
      </c>
      <c r="M30" s="367">
        <f t="shared" si="3"/>
        <v>355068.49397260288</v>
      </c>
      <c r="N30" s="368">
        <f t="shared" si="4"/>
        <v>30355068.493972592</v>
      </c>
      <c r="O30" s="368"/>
    </row>
    <row r="31" spans="1:16" ht="10.8" outlineLevel="1" x14ac:dyDescent="0.25">
      <c r="A31" s="360">
        <v>46113</v>
      </c>
      <c r="B31" s="361">
        <v>46203</v>
      </c>
      <c r="C31" s="362">
        <f t="shared" si="0"/>
        <v>91</v>
      </c>
      <c r="D31" s="370"/>
      <c r="E31" s="371"/>
      <c r="F31" s="364"/>
      <c r="G31" s="371"/>
      <c r="H31" s="371"/>
      <c r="I31" s="371"/>
      <c r="J31" s="369">
        <f t="shared" si="5"/>
        <v>30000000</v>
      </c>
      <c r="K31" s="366">
        <f t="shared" si="6"/>
        <v>4.8000000000000001E-2</v>
      </c>
      <c r="L31" s="369">
        <f t="shared" si="2"/>
        <v>359013.69863013696</v>
      </c>
      <c r="M31" s="367">
        <f t="shared" si="3"/>
        <v>714082.1926027399</v>
      </c>
      <c r="N31" s="368">
        <f t="shared" si="4"/>
        <v>30714082.192602728</v>
      </c>
      <c r="O31" s="368"/>
    </row>
    <row r="32" spans="1:16" ht="10.8" outlineLevel="1" x14ac:dyDescent="0.25">
      <c r="A32" s="360">
        <v>46204</v>
      </c>
      <c r="B32" s="361">
        <v>46295</v>
      </c>
      <c r="C32" s="362">
        <f t="shared" si="0"/>
        <v>92</v>
      </c>
      <c r="D32" s="370"/>
      <c r="E32" s="371"/>
      <c r="F32" s="364"/>
      <c r="G32" s="371"/>
      <c r="H32" s="371"/>
      <c r="I32" s="371"/>
      <c r="J32" s="369">
        <f t="shared" si="5"/>
        <v>30000000</v>
      </c>
      <c r="K32" s="366">
        <f t="shared" si="6"/>
        <v>4.8000000000000001E-2</v>
      </c>
      <c r="L32" s="369">
        <f t="shared" si="2"/>
        <v>362958.90410958906</v>
      </c>
      <c r="M32" s="367">
        <f t="shared" si="3"/>
        <v>1077041.096712329</v>
      </c>
      <c r="N32" s="368">
        <f t="shared" si="4"/>
        <v>31077041.096712317</v>
      </c>
      <c r="O32" s="368"/>
    </row>
    <row r="33" spans="1:16" ht="10.8" outlineLevel="1" x14ac:dyDescent="0.25">
      <c r="A33" s="360">
        <v>46296</v>
      </c>
      <c r="B33" s="361">
        <v>46340</v>
      </c>
      <c r="C33" s="362">
        <f t="shared" si="0"/>
        <v>45</v>
      </c>
      <c r="D33" s="370"/>
      <c r="E33" s="371"/>
      <c r="F33" s="364">
        <v>-1254575.3400000001</v>
      </c>
      <c r="G33" s="371"/>
      <c r="H33" s="371"/>
      <c r="I33" s="371"/>
      <c r="J33" s="369">
        <f t="shared" si="5"/>
        <v>30000000</v>
      </c>
      <c r="K33" s="366">
        <f t="shared" si="6"/>
        <v>4.8000000000000001E-2</v>
      </c>
      <c r="L33" s="365">
        <f t="shared" si="2"/>
        <v>177534.24657534246</v>
      </c>
      <c r="M33" s="367">
        <f t="shared" si="3"/>
        <v>3.2876713667064905E-3</v>
      </c>
      <c r="N33" s="368">
        <f t="shared" si="4"/>
        <v>30000000.003287658</v>
      </c>
      <c r="O33" s="368"/>
    </row>
    <row r="34" spans="1:16" ht="10.8" outlineLevel="1" x14ac:dyDescent="0.25">
      <c r="A34" s="360">
        <v>46340</v>
      </c>
      <c r="B34" s="361">
        <v>46340</v>
      </c>
      <c r="C34" s="362">
        <f t="shared" si="0"/>
        <v>1</v>
      </c>
      <c r="D34" s="370"/>
      <c r="E34" s="371"/>
      <c r="F34" s="371"/>
      <c r="G34" s="371">
        <f>-P21+30000000</f>
        <v>-60472.610000003129</v>
      </c>
      <c r="H34" s="371"/>
      <c r="I34" s="371">
        <v>-30000000</v>
      </c>
      <c r="J34" s="369">
        <f t="shared" si="5"/>
        <v>0</v>
      </c>
      <c r="K34" s="366">
        <f t="shared" si="6"/>
        <v>4.8000000000000001E-2</v>
      </c>
      <c r="L34" s="365">
        <f t="shared" si="2"/>
        <v>0</v>
      </c>
      <c r="M34" s="367">
        <f t="shared" si="3"/>
        <v>3.2876713667064905E-3</v>
      </c>
      <c r="N34" s="368">
        <f>N33+L34+F34+I34</f>
        <v>3.2876580953598022E-3</v>
      </c>
      <c r="O34" s="368"/>
    </row>
    <row r="35" spans="1:16" ht="10.8" outlineLevel="1" x14ac:dyDescent="0.25">
      <c r="A35" s="360"/>
      <c r="B35" s="361"/>
      <c r="C35" s="372"/>
      <c r="D35" s="370"/>
      <c r="E35" s="371"/>
      <c r="F35" s="371"/>
      <c r="G35" s="371"/>
      <c r="H35" s="371"/>
      <c r="I35" s="371"/>
      <c r="J35" s="365"/>
      <c r="K35" s="366"/>
      <c r="L35" s="365"/>
      <c r="M35" s="367"/>
      <c r="N35" s="368"/>
      <c r="O35" s="368"/>
    </row>
    <row r="36" spans="1:16" ht="10.8" outlineLevel="1" x14ac:dyDescent="0.25">
      <c r="A36" s="360"/>
      <c r="B36" s="361"/>
      <c r="C36" s="372"/>
      <c r="D36" s="370"/>
      <c r="E36" s="371"/>
      <c r="F36" s="371"/>
      <c r="G36" s="371"/>
      <c r="H36" s="371"/>
      <c r="I36" s="371"/>
      <c r="J36" s="365"/>
      <c r="K36" s="366"/>
      <c r="L36" s="365"/>
      <c r="M36" s="367"/>
      <c r="N36" s="368"/>
      <c r="O36" s="368"/>
    </row>
    <row r="37" spans="1:16" ht="10.8" outlineLevel="1" x14ac:dyDescent="0.25">
      <c r="A37" s="360"/>
      <c r="B37" s="361"/>
      <c r="C37" s="372"/>
      <c r="D37" s="370"/>
      <c r="E37" s="371"/>
      <c r="F37" s="371"/>
      <c r="G37" s="371"/>
      <c r="H37" s="371"/>
      <c r="I37" s="371"/>
      <c r="J37" s="365"/>
      <c r="K37" s="366"/>
      <c r="L37" s="365"/>
      <c r="M37" s="367"/>
      <c r="N37" s="368"/>
      <c r="O37" s="368"/>
    </row>
    <row r="38" spans="1:16" ht="10.8" outlineLevel="1" x14ac:dyDescent="0.25">
      <c r="A38" s="360"/>
      <c r="B38" s="361"/>
      <c r="C38" s="372"/>
      <c r="D38" s="370"/>
      <c r="E38" s="371"/>
      <c r="F38" s="371"/>
      <c r="G38" s="371"/>
      <c r="H38" s="371"/>
      <c r="I38" s="371"/>
      <c r="J38" s="365"/>
      <c r="K38" s="366"/>
      <c r="L38" s="365"/>
      <c r="M38" s="367"/>
      <c r="N38" s="368"/>
      <c r="O38" s="368"/>
    </row>
    <row r="39" spans="1:16" ht="10.8" outlineLevel="1" x14ac:dyDescent="0.25">
      <c r="A39" s="360"/>
      <c r="B39" s="361"/>
      <c r="C39" s="372"/>
      <c r="D39" s="370"/>
      <c r="E39" s="371"/>
      <c r="F39" s="371"/>
      <c r="G39" s="371"/>
      <c r="H39" s="371"/>
      <c r="I39" s="371"/>
      <c r="J39" s="365"/>
      <c r="K39" s="366"/>
      <c r="L39" s="365"/>
      <c r="M39" s="367"/>
      <c r="N39" s="368"/>
      <c r="O39" s="368"/>
    </row>
    <row r="40" spans="1:16" ht="10.8" outlineLevel="1" x14ac:dyDescent="0.25">
      <c r="A40" s="360"/>
      <c r="B40" s="361"/>
      <c r="C40" s="372"/>
      <c r="D40" s="370"/>
      <c r="E40" s="371"/>
      <c r="F40" s="371"/>
      <c r="G40" s="371"/>
      <c r="H40" s="371"/>
      <c r="I40" s="371"/>
      <c r="J40" s="365"/>
      <c r="K40" s="366"/>
      <c r="L40" s="365"/>
      <c r="M40" s="367"/>
      <c r="N40" s="368"/>
      <c r="O40" s="368"/>
      <c r="P40" s="342" t="s">
        <v>1477</v>
      </c>
    </row>
    <row r="41" spans="1:16" ht="10.8" outlineLevel="1" x14ac:dyDescent="0.25">
      <c r="A41" s="360"/>
      <c r="B41" s="361"/>
      <c r="C41" s="372"/>
      <c r="D41" s="370"/>
      <c r="E41" s="371"/>
      <c r="F41" s="371"/>
      <c r="G41" s="371"/>
      <c r="H41" s="371"/>
      <c r="I41" s="371"/>
      <c r="J41" s="365"/>
      <c r="K41" s="366"/>
      <c r="L41" s="365"/>
      <c r="M41" s="367"/>
      <c r="N41" s="368"/>
      <c r="O41" s="368"/>
    </row>
    <row r="42" spans="1:16" ht="10.8" outlineLevel="1" x14ac:dyDescent="0.25">
      <c r="A42" s="360"/>
      <c r="B42" s="361"/>
      <c r="C42" s="372"/>
      <c r="D42" s="370"/>
      <c r="E42" s="371"/>
      <c r="F42" s="371"/>
      <c r="G42" s="371"/>
      <c r="H42" s="371"/>
      <c r="I42" s="371"/>
      <c r="J42" s="365"/>
      <c r="K42" s="366"/>
      <c r="L42" s="365"/>
      <c r="M42" s="367"/>
      <c r="N42" s="368"/>
      <c r="O42" s="368"/>
    </row>
    <row r="43" spans="1:16" ht="10.8" outlineLevel="1" x14ac:dyDescent="0.25">
      <c r="A43" s="360"/>
      <c r="B43" s="361"/>
      <c r="C43" s="372"/>
      <c r="D43" s="370"/>
      <c r="E43" s="371"/>
      <c r="F43" s="371"/>
      <c r="G43" s="371"/>
      <c r="H43" s="371"/>
      <c r="I43" s="371"/>
      <c r="J43" s="365"/>
      <c r="K43" s="366"/>
      <c r="L43" s="365"/>
      <c r="M43" s="367"/>
      <c r="N43" s="368"/>
      <c r="O43" s="368"/>
    </row>
    <row r="44" spans="1:16" ht="10.8" outlineLevel="1" x14ac:dyDescent="0.25">
      <c r="A44" s="360"/>
      <c r="B44" s="361"/>
      <c r="C44" s="372"/>
      <c r="D44" s="370"/>
      <c r="E44" s="371"/>
      <c r="F44" s="371"/>
      <c r="G44" s="371"/>
      <c r="H44" s="371"/>
      <c r="I44" s="371"/>
      <c r="J44" s="365"/>
      <c r="K44" s="366"/>
      <c r="L44" s="365"/>
      <c r="M44" s="367"/>
      <c r="N44" s="368"/>
      <c r="O44" s="368"/>
    </row>
    <row r="45" spans="1:16" ht="10.8" outlineLevel="1" x14ac:dyDescent="0.25">
      <c r="A45" s="360"/>
      <c r="B45" s="361"/>
      <c r="C45" s="372"/>
      <c r="D45" s="370"/>
      <c r="E45" s="371"/>
      <c r="F45" s="371"/>
      <c r="G45" s="371"/>
      <c r="H45" s="371"/>
      <c r="I45" s="371"/>
      <c r="J45" s="365"/>
      <c r="K45" s="366"/>
      <c r="L45" s="365"/>
      <c r="M45" s="367"/>
      <c r="N45" s="368"/>
      <c r="O45" s="368"/>
    </row>
    <row r="46" spans="1:16" ht="10.8" outlineLevel="1" x14ac:dyDescent="0.25">
      <c r="A46" s="360"/>
      <c r="B46" s="361"/>
      <c r="C46" s="372"/>
      <c r="D46" s="370"/>
      <c r="E46" s="371"/>
      <c r="F46" s="371"/>
      <c r="G46" s="371"/>
      <c r="H46" s="371"/>
      <c r="I46" s="371"/>
      <c r="J46" s="365"/>
      <c r="K46" s="366"/>
      <c r="L46" s="365"/>
      <c r="M46" s="367"/>
      <c r="N46" s="368"/>
      <c r="O46" s="368"/>
    </row>
    <row r="47" spans="1:16" ht="10.8" outlineLevel="1" x14ac:dyDescent="0.25">
      <c r="A47" s="360"/>
      <c r="B47" s="361"/>
      <c r="C47" s="372"/>
      <c r="D47" s="370"/>
      <c r="E47" s="371"/>
      <c r="F47" s="371"/>
      <c r="G47" s="371"/>
      <c r="H47" s="371"/>
      <c r="I47" s="371"/>
      <c r="J47" s="365"/>
      <c r="K47" s="366"/>
      <c r="L47" s="365"/>
      <c r="M47" s="367"/>
      <c r="N47" s="368"/>
      <c r="O47" s="368"/>
    </row>
    <row r="48" spans="1:16" ht="10.8" outlineLevel="1" x14ac:dyDescent="0.25">
      <c r="A48" s="360"/>
      <c r="B48" s="361"/>
      <c r="C48" s="372"/>
      <c r="D48" s="370"/>
      <c r="E48" s="371"/>
      <c r="F48" s="371"/>
      <c r="G48" s="371"/>
      <c r="H48" s="371"/>
      <c r="I48" s="371"/>
      <c r="J48" s="365"/>
      <c r="K48" s="366"/>
      <c r="L48" s="365"/>
      <c r="M48" s="367"/>
      <c r="N48" s="368"/>
      <c r="O48" s="368"/>
    </row>
    <row r="49" spans="1:15" ht="10.8" outlineLevel="1" x14ac:dyDescent="0.25">
      <c r="A49" s="360"/>
      <c r="B49" s="361"/>
      <c r="C49" s="372"/>
      <c r="D49" s="370"/>
      <c r="E49" s="371"/>
      <c r="F49" s="371"/>
      <c r="G49" s="371"/>
      <c r="H49" s="371"/>
      <c r="I49" s="371"/>
      <c r="J49" s="365"/>
      <c r="K49" s="366"/>
      <c r="L49" s="365"/>
      <c r="M49" s="367"/>
      <c r="N49" s="368"/>
      <c r="O49" s="368"/>
    </row>
    <row r="50" spans="1:15" ht="10.8" outlineLevel="1" x14ac:dyDescent="0.25">
      <c r="A50" s="360"/>
      <c r="B50" s="361"/>
      <c r="C50" s="372"/>
      <c r="D50" s="370"/>
      <c r="E50" s="371"/>
      <c r="F50" s="371"/>
      <c r="G50" s="371"/>
      <c r="H50" s="371"/>
      <c r="I50" s="371"/>
      <c r="J50" s="365"/>
      <c r="K50" s="366"/>
      <c r="L50" s="365"/>
      <c r="M50" s="367"/>
      <c r="N50" s="368"/>
      <c r="O50" s="368"/>
    </row>
    <row r="51" spans="1:15" ht="10.8" outlineLevel="1" x14ac:dyDescent="0.25">
      <c r="A51" s="360"/>
      <c r="B51" s="361"/>
      <c r="C51" s="372"/>
      <c r="D51" s="370"/>
      <c r="E51" s="371"/>
      <c r="F51" s="371"/>
      <c r="G51" s="371"/>
      <c r="H51" s="371"/>
      <c r="I51" s="371"/>
      <c r="J51" s="365"/>
      <c r="K51" s="366"/>
      <c r="L51" s="365"/>
      <c r="M51" s="367"/>
      <c r="N51" s="368"/>
      <c r="O51" s="368"/>
    </row>
    <row r="52" spans="1:15" ht="10.8" outlineLevel="1" x14ac:dyDescent="0.25">
      <c r="A52" s="360"/>
      <c r="B52" s="361"/>
      <c r="C52" s="372"/>
      <c r="D52" s="370"/>
      <c r="E52" s="371"/>
      <c r="F52" s="371"/>
      <c r="G52" s="371"/>
      <c r="H52" s="371"/>
      <c r="I52" s="371"/>
      <c r="J52" s="365"/>
      <c r="K52" s="366"/>
      <c r="L52" s="365"/>
      <c r="M52" s="367"/>
      <c r="N52" s="368"/>
      <c r="O52" s="368"/>
    </row>
    <row r="53" spans="1:15" ht="10.8" outlineLevel="1" x14ac:dyDescent="0.25">
      <c r="A53" s="360"/>
      <c r="B53" s="361"/>
      <c r="C53" s="372"/>
      <c r="D53" s="370"/>
      <c r="E53" s="371"/>
      <c r="F53" s="371"/>
      <c r="G53" s="371"/>
      <c r="H53" s="371"/>
      <c r="I53" s="371"/>
      <c r="J53" s="365"/>
      <c r="K53" s="366"/>
      <c r="L53" s="365"/>
      <c r="M53" s="367"/>
      <c r="N53" s="368"/>
      <c r="O53" s="368"/>
    </row>
    <row r="54" spans="1:15" ht="10.8" outlineLevel="1" x14ac:dyDescent="0.25">
      <c r="A54" s="360"/>
      <c r="B54" s="361"/>
      <c r="C54" s="372"/>
      <c r="D54" s="370"/>
      <c r="E54" s="371"/>
      <c r="F54" s="371"/>
      <c r="G54" s="371"/>
      <c r="H54" s="371"/>
      <c r="I54" s="371"/>
      <c r="J54" s="365"/>
      <c r="K54" s="366"/>
      <c r="L54" s="365"/>
      <c r="M54" s="367"/>
      <c r="N54" s="368"/>
      <c r="O54" s="368"/>
    </row>
    <row r="55" spans="1:15" ht="10.8" outlineLevel="1" x14ac:dyDescent="0.25">
      <c r="A55" s="360"/>
      <c r="B55" s="361"/>
      <c r="C55" s="372"/>
      <c r="D55" s="370"/>
      <c r="E55" s="371"/>
      <c r="F55" s="371"/>
      <c r="G55" s="371"/>
      <c r="H55" s="371"/>
      <c r="I55" s="371"/>
      <c r="J55" s="365"/>
      <c r="K55" s="366"/>
      <c r="L55" s="365"/>
      <c r="M55" s="367"/>
      <c r="N55" s="368"/>
      <c r="O55" s="368"/>
    </row>
    <row r="56" spans="1:15" ht="10.8" outlineLevel="1" x14ac:dyDescent="0.25">
      <c r="A56" s="360"/>
      <c r="B56" s="361"/>
      <c r="C56" s="372"/>
      <c r="D56" s="370"/>
      <c r="E56" s="371"/>
      <c r="F56" s="371"/>
      <c r="G56" s="371"/>
      <c r="H56" s="371"/>
      <c r="I56" s="371"/>
      <c r="J56" s="365"/>
      <c r="K56" s="366"/>
      <c r="L56" s="365"/>
      <c r="M56" s="367"/>
      <c r="N56" s="368"/>
      <c r="O56" s="368"/>
    </row>
    <row r="57" spans="1:15" ht="10.8" outlineLevel="1" x14ac:dyDescent="0.25">
      <c r="A57" s="360"/>
      <c r="B57" s="361"/>
      <c r="C57" s="372"/>
      <c r="D57" s="370"/>
      <c r="E57" s="371"/>
      <c r="F57" s="371"/>
      <c r="G57" s="371"/>
      <c r="H57" s="371"/>
      <c r="I57" s="371"/>
      <c r="J57" s="365"/>
      <c r="K57" s="366"/>
      <c r="L57" s="365"/>
      <c r="M57" s="367"/>
      <c r="N57" s="368"/>
      <c r="O57" s="368"/>
    </row>
    <row r="58" spans="1:15" ht="10.8" outlineLevel="1" x14ac:dyDescent="0.25">
      <c r="A58" s="360"/>
      <c r="B58" s="361"/>
      <c r="C58" s="372"/>
      <c r="D58" s="370"/>
      <c r="E58" s="371"/>
      <c r="F58" s="371"/>
      <c r="G58" s="371"/>
      <c r="H58" s="371"/>
      <c r="I58" s="371"/>
      <c r="J58" s="365"/>
      <c r="K58" s="366"/>
      <c r="L58" s="365"/>
      <c r="M58" s="367"/>
      <c r="N58" s="368"/>
      <c r="O58" s="368"/>
    </row>
    <row r="59" spans="1:15" ht="10.8" outlineLevel="1" x14ac:dyDescent="0.25">
      <c r="A59" s="360"/>
      <c r="B59" s="361"/>
      <c r="C59" s="372"/>
      <c r="D59" s="370"/>
      <c r="E59" s="371"/>
      <c r="F59" s="371"/>
      <c r="G59" s="371"/>
      <c r="H59" s="371"/>
      <c r="I59" s="371"/>
      <c r="J59" s="365"/>
      <c r="K59" s="366"/>
      <c r="L59" s="365"/>
      <c r="M59" s="367"/>
      <c r="N59" s="368"/>
      <c r="O59" s="368"/>
    </row>
    <row r="60" spans="1:15" ht="10.8" outlineLevel="1" x14ac:dyDescent="0.25">
      <c r="A60" s="360"/>
      <c r="B60" s="361"/>
      <c r="C60" s="372"/>
      <c r="D60" s="370"/>
      <c r="E60" s="371"/>
      <c r="F60" s="371"/>
      <c r="G60" s="371"/>
      <c r="H60" s="371"/>
      <c r="I60" s="371"/>
      <c r="J60" s="365"/>
      <c r="K60" s="366"/>
      <c r="L60" s="365"/>
      <c r="M60" s="367"/>
      <c r="N60" s="368"/>
      <c r="O60" s="368"/>
    </row>
    <row r="61" spans="1:15" ht="10.8" outlineLevel="1" x14ac:dyDescent="0.25">
      <c r="A61" s="360"/>
      <c r="B61" s="361"/>
      <c r="C61" s="372"/>
      <c r="D61" s="370"/>
      <c r="E61" s="371"/>
      <c r="F61" s="371"/>
      <c r="G61" s="371"/>
      <c r="H61" s="371"/>
      <c r="I61" s="371"/>
      <c r="J61" s="365"/>
      <c r="K61" s="366"/>
      <c r="L61" s="365"/>
      <c r="M61" s="367"/>
      <c r="N61" s="368"/>
      <c r="O61" s="368"/>
    </row>
    <row r="62" spans="1:15" ht="10.8" outlineLevel="1" x14ac:dyDescent="0.25">
      <c r="A62" s="360"/>
      <c r="B62" s="361"/>
      <c r="C62" s="372"/>
      <c r="D62" s="370"/>
      <c r="E62" s="371"/>
      <c r="F62" s="371"/>
      <c r="G62" s="371"/>
      <c r="H62" s="371"/>
      <c r="I62" s="371"/>
      <c r="J62" s="365"/>
      <c r="K62" s="366"/>
      <c r="L62" s="365"/>
      <c r="M62" s="367"/>
      <c r="N62" s="368"/>
      <c r="O62" s="368"/>
    </row>
    <row r="63" spans="1:15" ht="10.8" outlineLevel="1" x14ac:dyDescent="0.25">
      <c r="A63" s="360"/>
      <c r="B63" s="361"/>
      <c r="C63" s="372"/>
      <c r="D63" s="370"/>
      <c r="E63" s="371"/>
      <c r="F63" s="371"/>
      <c r="G63" s="371"/>
      <c r="H63" s="371"/>
      <c r="I63" s="371"/>
      <c r="J63" s="365"/>
      <c r="K63" s="366"/>
      <c r="L63" s="365"/>
      <c r="M63" s="367"/>
      <c r="N63" s="368"/>
      <c r="O63" s="368"/>
    </row>
    <row r="64" spans="1:15" ht="10.8" x14ac:dyDescent="0.25">
      <c r="A64" s="360"/>
      <c r="B64" s="361"/>
      <c r="C64" s="372"/>
      <c r="D64" s="370"/>
      <c r="E64" s="371"/>
      <c r="F64" s="371"/>
      <c r="G64" s="371"/>
      <c r="H64" s="371"/>
      <c r="I64" s="371"/>
      <c r="J64" s="365"/>
      <c r="K64" s="366"/>
      <c r="L64" s="365"/>
      <c r="M64" s="367"/>
      <c r="N64" s="368"/>
      <c r="O64" s="368"/>
    </row>
    <row r="65" spans="1:15" ht="10.8" x14ac:dyDescent="0.25">
      <c r="A65" s="360"/>
      <c r="B65" s="361"/>
      <c r="C65" s="372"/>
      <c r="D65" s="370"/>
      <c r="E65" s="371"/>
      <c r="F65" s="371"/>
      <c r="G65" s="371"/>
      <c r="H65" s="371"/>
      <c r="I65" s="371"/>
      <c r="J65" s="365"/>
      <c r="K65" s="366"/>
      <c r="L65" s="365"/>
      <c r="M65" s="367"/>
      <c r="N65" s="368"/>
      <c r="O65" s="368"/>
    </row>
    <row r="66" spans="1:15" ht="10.8" x14ac:dyDescent="0.25">
      <c r="A66" s="360"/>
      <c r="B66" s="361"/>
      <c r="C66" s="372"/>
      <c r="D66" s="370"/>
      <c r="E66" s="371"/>
      <c r="F66" s="371"/>
      <c r="G66" s="371"/>
      <c r="H66" s="371"/>
      <c r="I66" s="371"/>
      <c r="J66" s="365"/>
      <c r="K66" s="366"/>
      <c r="L66" s="365"/>
      <c r="M66" s="367"/>
      <c r="N66" s="368"/>
      <c r="O66" s="368"/>
    </row>
    <row r="67" spans="1:15" ht="10.8" x14ac:dyDescent="0.25">
      <c r="A67" s="360"/>
      <c r="B67" s="361"/>
      <c r="C67" s="372"/>
      <c r="D67" s="370"/>
      <c r="E67" s="371"/>
      <c r="F67" s="371"/>
      <c r="G67" s="371"/>
      <c r="H67" s="371"/>
      <c r="I67" s="371"/>
      <c r="J67" s="365"/>
      <c r="K67" s="366"/>
      <c r="L67" s="365"/>
      <c r="M67" s="367"/>
      <c r="N67" s="368"/>
      <c r="O67" s="368"/>
    </row>
    <row r="68" spans="1:15" ht="10.8" x14ac:dyDescent="0.25">
      <c r="A68" s="360"/>
      <c r="B68" s="361"/>
      <c r="C68" s="372"/>
      <c r="D68" s="370"/>
      <c r="E68" s="371"/>
      <c r="F68" s="371"/>
      <c r="G68" s="371"/>
      <c r="H68" s="371"/>
      <c r="I68" s="371"/>
      <c r="J68" s="365"/>
      <c r="K68" s="366"/>
      <c r="L68" s="365"/>
      <c r="M68" s="367"/>
      <c r="N68" s="368"/>
      <c r="O68" s="368"/>
    </row>
    <row r="69" spans="1:15" ht="10.8" x14ac:dyDescent="0.25">
      <c r="A69" s="360"/>
      <c r="B69" s="361"/>
      <c r="C69" s="372"/>
      <c r="D69" s="370"/>
      <c r="E69" s="371"/>
      <c r="F69" s="371"/>
      <c r="G69" s="371"/>
      <c r="H69" s="371"/>
      <c r="I69" s="371"/>
      <c r="J69" s="365"/>
      <c r="K69" s="366"/>
      <c r="L69" s="365"/>
      <c r="M69" s="367"/>
      <c r="N69" s="368"/>
      <c r="O69" s="368"/>
    </row>
    <row r="70" spans="1:15" ht="10.8" x14ac:dyDescent="0.25">
      <c r="A70" s="360"/>
      <c r="B70" s="361"/>
      <c r="C70" s="372"/>
      <c r="D70" s="370"/>
      <c r="E70" s="371"/>
      <c r="F70" s="371"/>
      <c r="G70" s="371"/>
      <c r="H70" s="371"/>
      <c r="I70" s="371"/>
      <c r="J70" s="365"/>
      <c r="K70" s="366"/>
      <c r="L70" s="365"/>
      <c r="M70" s="367"/>
      <c r="N70" s="368"/>
      <c r="O70" s="368"/>
    </row>
    <row r="71" spans="1:15" ht="10.8" x14ac:dyDescent="0.25">
      <c r="A71" s="360"/>
      <c r="B71" s="361"/>
      <c r="C71" s="372"/>
      <c r="D71" s="370"/>
      <c r="E71" s="371"/>
      <c r="F71" s="371"/>
      <c r="G71" s="371"/>
      <c r="H71" s="371"/>
      <c r="I71" s="371"/>
      <c r="J71" s="365"/>
      <c r="K71" s="366"/>
      <c r="L71" s="365"/>
      <c r="M71" s="367"/>
      <c r="N71" s="368"/>
      <c r="O71" s="368"/>
    </row>
    <row r="72" spans="1:15" ht="10.8" x14ac:dyDescent="0.25">
      <c r="A72" s="360"/>
      <c r="B72" s="361"/>
      <c r="C72" s="372"/>
      <c r="D72" s="370"/>
      <c r="E72" s="371"/>
      <c r="F72" s="371"/>
      <c r="G72" s="371"/>
      <c r="H72" s="371"/>
      <c r="I72" s="371"/>
      <c r="J72" s="365"/>
      <c r="K72" s="366"/>
      <c r="L72" s="365"/>
      <c r="M72" s="367"/>
      <c r="N72" s="368"/>
      <c r="O72" s="368"/>
    </row>
    <row r="73" spans="1:15" ht="10.8" x14ac:dyDescent="0.25">
      <c r="A73" s="360"/>
      <c r="B73" s="361"/>
      <c r="C73" s="372"/>
      <c r="D73" s="370"/>
      <c r="E73" s="371"/>
      <c r="F73" s="371"/>
      <c r="G73" s="371"/>
      <c r="H73" s="371"/>
      <c r="I73" s="371"/>
      <c r="J73" s="365"/>
      <c r="K73" s="366"/>
      <c r="L73" s="365"/>
      <c r="M73" s="367"/>
      <c r="N73" s="368"/>
      <c r="O73" s="368"/>
    </row>
    <row r="74" spans="1:15" ht="10.8" x14ac:dyDescent="0.25">
      <c r="A74" s="360"/>
      <c r="B74" s="361"/>
      <c r="C74" s="372"/>
      <c r="D74" s="370"/>
      <c r="E74" s="371"/>
      <c r="F74" s="371"/>
      <c r="G74" s="371"/>
      <c r="H74" s="371"/>
      <c r="I74" s="371"/>
      <c r="J74" s="365"/>
      <c r="K74" s="366"/>
      <c r="L74" s="365"/>
      <c r="M74" s="367"/>
      <c r="N74" s="368"/>
      <c r="O74" s="368"/>
    </row>
    <row r="75" spans="1:15" ht="10.8" x14ac:dyDescent="0.25">
      <c r="A75" s="360"/>
      <c r="B75" s="361"/>
      <c r="C75" s="372"/>
      <c r="D75" s="370"/>
      <c r="E75" s="371"/>
      <c r="F75" s="371"/>
      <c r="G75" s="371"/>
      <c r="H75" s="371"/>
      <c r="I75" s="371"/>
      <c r="J75" s="365"/>
      <c r="K75" s="366"/>
      <c r="L75" s="365"/>
      <c r="M75" s="367"/>
      <c r="N75" s="368"/>
      <c r="O75" s="368"/>
    </row>
    <row r="76" spans="1:15" ht="10.8" x14ac:dyDescent="0.25">
      <c r="A76" s="360"/>
      <c r="B76" s="361"/>
      <c r="C76" s="372"/>
      <c r="D76" s="370"/>
      <c r="E76" s="371"/>
      <c r="F76" s="371"/>
      <c r="G76" s="371"/>
      <c r="H76" s="371"/>
      <c r="I76" s="371"/>
      <c r="J76" s="365"/>
      <c r="K76" s="366"/>
      <c r="L76" s="365"/>
      <c r="M76" s="367"/>
      <c r="N76" s="368"/>
      <c r="O76" s="368"/>
    </row>
    <row r="77" spans="1:15" ht="10.8" x14ac:dyDescent="0.25">
      <c r="A77" s="360"/>
      <c r="B77" s="361"/>
      <c r="C77" s="372"/>
      <c r="D77" s="370"/>
      <c r="E77" s="371"/>
      <c r="F77" s="371"/>
      <c r="G77" s="371"/>
      <c r="H77" s="371"/>
      <c r="I77" s="371"/>
      <c r="J77" s="365"/>
      <c r="K77" s="366"/>
      <c r="L77" s="365"/>
      <c r="M77" s="367"/>
      <c r="N77" s="368"/>
      <c r="O77" s="368"/>
    </row>
    <row r="78" spans="1:15" ht="10.8" x14ac:dyDescent="0.25">
      <c r="A78" s="360"/>
      <c r="B78" s="361"/>
      <c r="C78" s="372"/>
      <c r="D78" s="370"/>
      <c r="E78" s="371"/>
      <c r="F78" s="371"/>
      <c r="G78" s="371"/>
      <c r="H78" s="371"/>
      <c r="I78" s="371"/>
      <c r="J78" s="365"/>
      <c r="K78" s="366"/>
      <c r="L78" s="365"/>
      <c r="M78" s="367"/>
      <c r="N78" s="368"/>
      <c r="O78" s="368"/>
    </row>
    <row r="79" spans="1:15" ht="10.8" x14ac:dyDescent="0.25">
      <c r="A79" s="360"/>
      <c r="B79" s="361"/>
      <c r="C79" s="372"/>
      <c r="D79" s="370"/>
      <c r="E79" s="371"/>
      <c r="F79" s="371"/>
      <c r="G79" s="371"/>
      <c r="H79" s="371"/>
      <c r="I79" s="371"/>
      <c r="J79" s="365"/>
      <c r="K79" s="366"/>
      <c r="L79" s="365"/>
      <c r="M79" s="367"/>
      <c r="N79" s="368"/>
      <c r="O79" s="368"/>
    </row>
    <row r="80" spans="1:15" ht="10.8" x14ac:dyDescent="0.25">
      <c r="A80" s="360"/>
      <c r="B80" s="361"/>
      <c r="C80" s="372"/>
      <c r="D80" s="370"/>
      <c r="E80" s="371"/>
      <c r="F80" s="371"/>
      <c r="G80" s="371"/>
      <c r="H80" s="371"/>
      <c r="I80" s="371"/>
      <c r="J80" s="365"/>
      <c r="K80" s="366"/>
      <c r="L80" s="365"/>
      <c r="M80" s="367"/>
      <c r="N80" s="368"/>
      <c r="O80" s="368"/>
    </row>
    <row r="81" spans="1:15" ht="10.8" x14ac:dyDescent="0.25">
      <c r="A81" s="360"/>
      <c r="B81" s="361"/>
      <c r="C81" s="372"/>
      <c r="D81" s="370"/>
      <c r="E81" s="371"/>
      <c r="F81" s="371"/>
      <c r="G81" s="371"/>
      <c r="H81" s="371"/>
      <c r="I81" s="371"/>
      <c r="J81" s="365"/>
      <c r="K81" s="366"/>
      <c r="L81" s="365"/>
      <c r="M81" s="367"/>
      <c r="N81" s="368"/>
      <c r="O81" s="368"/>
    </row>
    <row r="82" spans="1:15" ht="10.8" x14ac:dyDescent="0.25">
      <c r="A82" s="360"/>
      <c r="B82" s="361"/>
      <c r="C82" s="372"/>
      <c r="D82" s="370"/>
      <c r="E82" s="371"/>
      <c r="F82" s="371"/>
      <c r="G82" s="371"/>
      <c r="H82" s="371"/>
      <c r="I82" s="371"/>
      <c r="J82" s="365"/>
      <c r="K82" s="366"/>
      <c r="L82" s="365"/>
      <c r="M82" s="367"/>
      <c r="N82" s="368"/>
      <c r="O82" s="368"/>
    </row>
    <row r="83" spans="1:15" ht="10.8" x14ac:dyDescent="0.25">
      <c r="A83" s="360"/>
      <c r="B83" s="361"/>
      <c r="C83" s="372"/>
      <c r="D83" s="370"/>
      <c r="E83" s="371"/>
      <c r="F83" s="371"/>
      <c r="G83" s="371"/>
      <c r="H83" s="371"/>
      <c r="I83" s="371"/>
      <c r="J83" s="365"/>
      <c r="K83" s="366"/>
      <c r="L83" s="365"/>
      <c r="M83" s="367"/>
      <c r="N83" s="368"/>
      <c r="O83" s="368"/>
    </row>
    <row r="84" spans="1:15" ht="10.8" x14ac:dyDescent="0.25">
      <c r="A84" s="360"/>
      <c r="B84" s="361"/>
      <c r="C84" s="372"/>
      <c r="D84" s="370"/>
      <c r="E84" s="371"/>
      <c r="F84" s="371"/>
      <c r="G84" s="371"/>
      <c r="H84" s="371"/>
      <c r="I84" s="371"/>
      <c r="J84" s="365"/>
      <c r="K84" s="366"/>
      <c r="L84" s="365"/>
      <c r="M84" s="367"/>
      <c r="N84" s="368"/>
      <c r="O84" s="368"/>
    </row>
    <row r="85" spans="1:15" ht="10.8" x14ac:dyDescent="0.25">
      <c r="A85" s="360"/>
      <c r="B85" s="361"/>
      <c r="C85" s="372"/>
      <c r="D85" s="370"/>
      <c r="E85" s="371"/>
      <c r="F85" s="371"/>
      <c r="G85" s="371"/>
      <c r="H85" s="371"/>
      <c r="I85" s="371"/>
      <c r="J85" s="365"/>
      <c r="K85" s="366"/>
      <c r="L85" s="365"/>
      <c r="M85" s="367"/>
      <c r="N85" s="368"/>
      <c r="O85" s="368"/>
    </row>
    <row r="86" spans="1:15" ht="10.8" x14ac:dyDescent="0.25">
      <c r="A86" s="360"/>
      <c r="B86" s="361"/>
      <c r="C86" s="372"/>
      <c r="D86" s="370"/>
      <c r="E86" s="371"/>
      <c r="F86" s="371"/>
      <c r="G86" s="371"/>
      <c r="H86" s="371"/>
      <c r="I86" s="371"/>
      <c r="J86" s="365"/>
      <c r="K86" s="366"/>
      <c r="L86" s="365"/>
      <c r="M86" s="367"/>
      <c r="N86" s="368"/>
      <c r="O86" s="368"/>
    </row>
    <row r="87" spans="1:15" ht="10.8" x14ac:dyDescent="0.25">
      <c r="A87" s="360"/>
      <c r="B87" s="361"/>
      <c r="C87" s="372"/>
      <c r="D87" s="370"/>
      <c r="E87" s="371"/>
      <c r="F87" s="371"/>
      <c r="G87" s="371"/>
      <c r="H87" s="371"/>
      <c r="I87" s="371"/>
      <c r="J87" s="365"/>
      <c r="K87" s="366"/>
      <c r="L87" s="365"/>
      <c r="M87" s="367"/>
      <c r="N87" s="368"/>
      <c r="O87" s="368"/>
    </row>
    <row r="88" spans="1:15" ht="10.8" x14ac:dyDescent="0.25">
      <c r="A88" s="360"/>
      <c r="B88" s="361"/>
      <c r="C88" s="372"/>
      <c r="D88" s="370"/>
      <c r="E88" s="371"/>
      <c r="F88" s="371"/>
      <c r="G88" s="371"/>
      <c r="H88" s="371"/>
      <c r="I88" s="371"/>
      <c r="J88" s="365"/>
      <c r="K88" s="366"/>
      <c r="L88" s="365"/>
      <c r="M88" s="367"/>
      <c r="N88" s="368"/>
      <c r="O88" s="368"/>
    </row>
    <row r="89" spans="1:15" ht="10.8" x14ac:dyDescent="0.25">
      <c r="A89" s="360"/>
      <c r="B89" s="361"/>
      <c r="C89" s="372"/>
      <c r="D89" s="370"/>
      <c r="E89" s="371"/>
      <c r="F89" s="371"/>
      <c r="G89" s="371"/>
      <c r="H89" s="371"/>
      <c r="I89" s="371"/>
      <c r="J89" s="365"/>
      <c r="K89" s="366"/>
      <c r="L89" s="365"/>
      <c r="M89" s="367"/>
      <c r="N89" s="368"/>
      <c r="O89" s="368"/>
    </row>
    <row r="90" spans="1:15" ht="10.8" x14ac:dyDescent="0.25">
      <c r="A90" s="360"/>
      <c r="B90" s="361"/>
      <c r="C90" s="372"/>
      <c r="D90" s="370"/>
      <c r="E90" s="371"/>
      <c r="F90" s="371"/>
      <c r="G90" s="371"/>
      <c r="H90" s="371"/>
      <c r="I90" s="371"/>
      <c r="J90" s="365"/>
      <c r="K90" s="366"/>
      <c r="L90" s="365"/>
      <c r="M90" s="367"/>
      <c r="N90" s="368"/>
      <c r="O90" s="368"/>
    </row>
    <row r="91" spans="1:15" ht="10.8" x14ac:dyDescent="0.25">
      <c r="A91" s="360"/>
      <c r="B91" s="361"/>
      <c r="C91" s="372"/>
      <c r="D91" s="370"/>
      <c r="E91" s="371"/>
      <c r="F91" s="371"/>
      <c r="G91" s="371"/>
      <c r="H91" s="371"/>
      <c r="I91" s="371"/>
      <c r="J91" s="365"/>
      <c r="K91" s="366"/>
      <c r="L91" s="365"/>
      <c r="M91" s="367"/>
      <c r="N91" s="368"/>
      <c r="O91" s="368"/>
    </row>
    <row r="92" spans="1:15" ht="10.8" x14ac:dyDescent="0.25">
      <c r="A92" s="360"/>
      <c r="B92" s="361"/>
      <c r="C92" s="372"/>
      <c r="D92" s="370"/>
      <c r="E92" s="371"/>
      <c r="F92" s="371"/>
      <c r="G92" s="371"/>
      <c r="H92" s="371"/>
      <c r="I92" s="371"/>
      <c r="J92" s="365"/>
      <c r="K92" s="366"/>
      <c r="L92" s="365"/>
      <c r="M92" s="367"/>
      <c r="N92" s="368"/>
      <c r="O92" s="368"/>
    </row>
    <row r="93" spans="1:15" ht="10.8" x14ac:dyDescent="0.25">
      <c r="A93" s="360"/>
      <c r="B93" s="361"/>
      <c r="C93" s="372"/>
      <c r="D93" s="370"/>
      <c r="E93" s="371"/>
      <c r="F93" s="371"/>
      <c r="G93" s="371"/>
      <c r="H93" s="371"/>
      <c r="I93" s="371"/>
      <c r="J93" s="365"/>
      <c r="K93" s="366"/>
      <c r="L93" s="365"/>
      <c r="M93" s="367"/>
      <c r="N93" s="368"/>
      <c r="O93" s="368"/>
    </row>
    <row r="94" spans="1:15" ht="10.8" x14ac:dyDescent="0.25">
      <c r="A94" s="360"/>
      <c r="B94" s="361"/>
      <c r="C94" s="372"/>
      <c r="D94" s="370"/>
      <c r="E94" s="371"/>
      <c r="F94" s="371"/>
      <c r="G94" s="371"/>
      <c r="H94" s="371"/>
      <c r="I94" s="371"/>
      <c r="J94" s="365"/>
      <c r="K94" s="366"/>
      <c r="L94" s="365"/>
      <c r="M94" s="367"/>
      <c r="N94" s="368"/>
      <c r="O94" s="368"/>
    </row>
    <row r="95" spans="1:15" ht="10.8" x14ac:dyDescent="0.25">
      <c r="A95" s="360"/>
      <c r="B95" s="361"/>
      <c r="C95" s="372"/>
      <c r="D95" s="370"/>
      <c r="E95" s="371"/>
      <c r="F95" s="371"/>
      <c r="G95" s="371"/>
      <c r="H95" s="371"/>
      <c r="I95" s="371"/>
      <c r="J95" s="365"/>
      <c r="K95" s="366"/>
      <c r="L95" s="365"/>
      <c r="M95" s="367"/>
      <c r="N95" s="368"/>
      <c r="O95" s="368"/>
    </row>
    <row r="96" spans="1:15" ht="10.8" x14ac:dyDescent="0.25">
      <c r="A96" s="360"/>
      <c r="B96" s="361"/>
      <c r="C96" s="372"/>
      <c r="D96" s="370"/>
      <c r="E96" s="371"/>
      <c r="F96" s="371"/>
      <c r="G96" s="371"/>
      <c r="H96" s="371"/>
      <c r="I96" s="371"/>
      <c r="J96" s="365"/>
      <c r="K96" s="366"/>
      <c r="L96" s="365"/>
      <c r="M96" s="367"/>
      <c r="N96" s="368"/>
      <c r="O96" s="368"/>
    </row>
    <row r="97" spans="1:15" ht="10.8" x14ac:dyDescent="0.25">
      <c r="A97" s="360"/>
      <c r="B97" s="361"/>
      <c r="C97" s="372"/>
      <c r="D97" s="370"/>
      <c r="E97" s="371"/>
      <c r="F97" s="371"/>
      <c r="G97" s="371"/>
      <c r="H97" s="371"/>
      <c r="I97" s="371"/>
      <c r="J97" s="365"/>
      <c r="K97" s="366"/>
      <c r="L97" s="365"/>
      <c r="M97" s="367"/>
      <c r="N97" s="368"/>
      <c r="O97" s="368"/>
    </row>
    <row r="98" spans="1:15" ht="10.8" x14ac:dyDescent="0.25">
      <c r="A98" s="360"/>
      <c r="B98" s="361"/>
      <c r="C98" s="372"/>
      <c r="D98" s="370"/>
      <c r="E98" s="371"/>
      <c r="F98" s="371"/>
      <c r="G98" s="371"/>
      <c r="H98" s="371"/>
      <c r="I98" s="371"/>
      <c r="J98" s="365"/>
      <c r="K98" s="366"/>
      <c r="L98" s="365"/>
      <c r="M98" s="367"/>
      <c r="N98" s="368"/>
      <c r="O98" s="368"/>
    </row>
    <row r="99" spans="1:15" ht="10.8" x14ac:dyDescent="0.25">
      <c r="A99" s="360"/>
      <c r="B99" s="361"/>
      <c r="C99" s="372"/>
      <c r="D99" s="370"/>
      <c r="E99" s="371"/>
      <c r="F99" s="371"/>
      <c r="G99" s="371"/>
      <c r="H99" s="371"/>
      <c r="I99" s="371"/>
      <c r="J99" s="365"/>
      <c r="K99" s="366"/>
      <c r="L99" s="365"/>
      <c r="M99" s="367"/>
      <c r="N99" s="368"/>
      <c r="O99" s="368"/>
    </row>
    <row r="100" spans="1:15" ht="10.8" x14ac:dyDescent="0.25">
      <c r="A100" s="360"/>
      <c r="B100" s="361"/>
      <c r="C100" s="372"/>
      <c r="D100" s="370"/>
      <c r="E100" s="371"/>
      <c r="F100" s="371"/>
      <c r="G100" s="371"/>
      <c r="H100" s="371"/>
      <c r="I100" s="371"/>
      <c r="J100" s="365"/>
      <c r="K100" s="366"/>
      <c r="L100" s="365"/>
      <c r="M100" s="367"/>
      <c r="N100" s="368"/>
      <c r="O100" s="368"/>
    </row>
    <row r="101" spans="1:15" ht="10.8" x14ac:dyDescent="0.25">
      <c r="A101" s="360"/>
      <c r="B101" s="361"/>
      <c r="C101" s="372"/>
      <c r="D101" s="370"/>
      <c r="E101" s="371"/>
      <c r="F101" s="371"/>
      <c r="G101" s="371"/>
      <c r="H101" s="371"/>
      <c r="I101" s="371"/>
      <c r="J101" s="365"/>
      <c r="K101" s="366"/>
      <c r="L101" s="365"/>
      <c r="M101" s="367"/>
      <c r="N101" s="368"/>
      <c r="O101" s="368"/>
    </row>
    <row r="102" spans="1:15" ht="10.8" x14ac:dyDescent="0.25">
      <c r="A102" s="360"/>
      <c r="B102" s="361"/>
      <c r="C102" s="372"/>
      <c r="D102" s="370"/>
      <c r="E102" s="371"/>
      <c r="F102" s="371"/>
      <c r="G102" s="371"/>
      <c r="H102" s="371"/>
      <c r="I102" s="371"/>
      <c r="J102" s="365"/>
      <c r="K102" s="366"/>
      <c r="L102" s="365"/>
      <c r="M102" s="367"/>
      <c r="N102" s="368"/>
      <c r="O102" s="368"/>
    </row>
    <row r="103" spans="1:15" ht="10.8" x14ac:dyDescent="0.25">
      <c r="A103" s="360"/>
      <c r="B103" s="361"/>
      <c r="C103" s="372"/>
      <c r="D103" s="370"/>
      <c r="E103" s="371"/>
      <c r="F103" s="371"/>
      <c r="G103" s="371"/>
      <c r="H103" s="371"/>
      <c r="I103" s="371"/>
      <c r="J103" s="365"/>
      <c r="K103" s="366"/>
      <c r="L103" s="365"/>
      <c r="M103" s="367"/>
      <c r="N103" s="368"/>
      <c r="O103" s="368"/>
    </row>
    <row r="104" spans="1:15" ht="10.8" x14ac:dyDescent="0.25">
      <c r="A104" s="360"/>
      <c r="B104" s="361"/>
      <c r="C104" s="372"/>
      <c r="D104" s="370"/>
      <c r="E104" s="371"/>
      <c r="F104" s="371"/>
      <c r="G104" s="371"/>
      <c r="H104" s="371"/>
      <c r="I104" s="371"/>
      <c r="J104" s="365"/>
      <c r="K104" s="366"/>
      <c r="L104" s="365"/>
      <c r="M104" s="367"/>
      <c r="N104" s="368"/>
      <c r="O104" s="368"/>
    </row>
    <row r="105" spans="1:15" ht="10.8" x14ac:dyDescent="0.25">
      <c r="A105" s="360"/>
      <c r="B105" s="361"/>
      <c r="C105" s="372"/>
      <c r="D105" s="370"/>
      <c r="E105" s="371"/>
      <c r="F105" s="371"/>
      <c r="G105" s="371"/>
      <c r="H105" s="371"/>
      <c r="I105" s="371"/>
      <c r="J105" s="365"/>
      <c r="K105" s="366"/>
      <c r="L105" s="365"/>
      <c r="M105" s="367"/>
      <c r="N105" s="368"/>
      <c r="O105" s="368"/>
    </row>
    <row r="106" spans="1:15" ht="10.8" x14ac:dyDescent="0.25">
      <c r="A106" s="360"/>
      <c r="B106" s="361"/>
      <c r="C106" s="372"/>
      <c r="D106" s="370"/>
      <c r="E106" s="371"/>
      <c r="F106" s="371"/>
      <c r="G106" s="371"/>
      <c r="H106" s="371"/>
      <c r="I106" s="371"/>
      <c r="J106" s="365"/>
      <c r="K106" s="366"/>
      <c r="L106" s="365"/>
      <c r="M106" s="367"/>
      <c r="N106" s="368"/>
      <c r="O106" s="368"/>
    </row>
    <row r="107" spans="1:15" ht="10.8" x14ac:dyDescent="0.25">
      <c r="A107" s="360"/>
      <c r="B107" s="361"/>
      <c r="C107" s="372"/>
      <c r="D107" s="370"/>
      <c r="E107" s="371"/>
      <c r="F107" s="371"/>
      <c r="G107" s="371"/>
      <c r="H107" s="371"/>
      <c r="I107" s="371"/>
      <c r="J107" s="365"/>
      <c r="K107" s="366"/>
      <c r="L107" s="365"/>
      <c r="M107" s="367"/>
      <c r="N107" s="368"/>
      <c r="O107" s="368"/>
    </row>
    <row r="108" spans="1:15" ht="10.8" x14ac:dyDescent="0.25">
      <c r="A108" s="360"/>
      <c r="B108" s="361"/>
      <c r="C108" s="372"/>
      <c r="D108" s="370"/>
      <c r="E108" s="371"/>
      <c r="F108" s="371"/>
      <c r="G108" s="371"/>
      <c r="H108" s="371"/>
      <c r="I108" s="371"/>
      <c r="J108" s="365"/>
      <c r="K108" s="366"/>
      <c r="L108" s="365"/>
      <c r="M108" s="367"/>
      <c r="N108" s="368"/>
      <c r="O108" s="368"/>
    </row>
    <row r="109" spans="1:15" ht="10.8" x14ac:dyDescent="0.25">
      <c r="A109" s="360"/>
      <c r="B109" s="361"/>
      <c r="C109" s="372"/>
      <c r="D109" s="370"/>
      <c r="E109" s="371"/>
      <c r="F109" s="371"/>
      <c r="G109" s="371"/>
      <c r="H109" s="371"/>
      <c r="I109" s="371"/>
      <c r="J109" s="365"/>
      <c r="K109" s="366"/>
      <c r="L109" s="365"/>
      <c r="M109" s="367"/>
      <c r="N109" s="368"/>
      <c r="O109" s="368"/>
    </row>
    <row r="110" spans="1:15" ht="10.8" x14ac:dyDescent="0.25">
      <c r="A110" s="360"/>
      <c r="B110" s="361"/>
      <c r="C110" s="372"/>
      <c r="D110" s="370"/>
      <c r="E110" s="371"/>
      <c r="F110" s="371"/>
      <c r="G110" s="371"/>
      <c r="H110" s="371"/>
      <c r="I110" s="371"/>
      <c r="J110" s="365"/>
      <c r="K110" s="366"/>
      <c r="L110" s="365"/>
      <c r="M110" s="367"/>
      <c r="N110" s="368"/>
      <c r="O110" s="368"/>
    </row>
    <row r="111" spans="1:15" ht="10.8" x14ac:dyDescent="0.25">
      <c r="A111" s="360"/>
      <c r="B111" s="361"/>
      <c r="C111" s="372"/>
      <c r="D111" s="370"/>
      <c r="E111" s="371"/>
      <c r="F111" s="371"/>
      <c r="G111" s="371"/>
      <c r="H111" s="371"/>
      <c r="I111" s="371"/>
      <c r="J111" s="365"/>
      <c r="K111" s="366"/>
      <c r="L111" s="365"/>
      <c r="M111" s="367"/>
      <c r="N111" s="368"/>
      <c r="O111" s="368"/>
    </row>
    <row r="112" spans="1:15" ht="10.8" x14ac:dyDescent="0.25">
      <c r="A112" s="360"/>
      <c r="B112" s="361"/>
      <c r="C112" s="372"/>
      <c r="D112" s="370"/>
      <c r="E112" s="371"/>
      <c r="F112" s="371"/>
      <c r="G112" s="371"/>
      <c r="H112" s="371"/>
      <c r="I112" s="371"/>
      <c r="J112" s="365"/>
      <c r="K112" s="366"/>
      <c r="L112" s="365"/>
      <c r="M112" s="367"/>
      <c r="N112" s="368"/>
      <c r="O112" s="368"/>
    </row>
    <row r="113" spans="1:15" ht="10.8" x14ac:dyDescent="0.25">
      <c r="A113" s="360"/>
      <c r="B113" s="361"/>
      <c r="C113" s="372"/>
      <c r="D113" s="370"/>
      <c r="E113" s="371"/>
      <c r="F113" s="371"/>
      <c r="G113" s="371"/>
      <c r="H113" s="371"/>
      <c r="I113" s="371"/>
      <c r="J113" s="365"/>
      <c r="K113" s="366"/>
      <c r="L113" s="365"/>
      <c r="M113" s="367"/>
      <c r="N113" s="368"/>
      <c r="O113" s="368"/>
    </row>
    <row r="114" spans="1:15" ht="10.8" x14ac:dyDescent="0.25">
      <c r="A114" s="360"/>
      <c r="B114" s="361"/>
      <c r="C114" s="372"/>
      <c r="D114" s="370"/>
      <c r="E114" s="371"/>
      <c r="F114" s="371"/>
      <c r="G114" s="371"/>
      <c r="H114" s="371"/>
      <c r="I114" s="371"/>
      <c r="J114" s="365"/>
      <c r="K114" s="366"/>
      <c r="L114" s="365"/>
      <c r="M114" s="367"/>
      <c r="N114" s="368"/>
      <c r="O114" s="368"/>
    </row>
    <row r="115" spans="1:15" ht="10.8" x14ac:dyDescent="0.25">
      <c r="A115" s="360"/>
      <c r="B115" s="361"/>
      <c r="C115" s="372"/>
      <c r="D115" s="370"/>
      <c r="E115" s="371"/>
      <c r="F115" s="371"/>
      <c r="G115" s="371"/>
      <c r="H115" s="371"/>
      <c r="I115" s="371"/>
      <c r="J115" s="365"/>
      <c r="K115" s="366"/>
      <c r="L115" s="365"/>
      <c r="M115" s="367"/>
      <c r="N115" s="368"/>
      <c r="O115" s="368"/>
    </row>
    <row r="116" spans="1:15" ht="10.8" x14ac:dyDescent="0.25">
      <c r="A116" s="360"/>
      <c r="B116" s="361"/>
      <c r="C116" s="372"/>
      <c r="D116" s="370"/>
      <c r="E116" s="371"/>
      <c r="F116" s="371"/>
      <c r="G116" s="371"/>
      <c r="H116" s="371"/>
      <c r="I116" s="371"/>
      <c r="J116" s="365"/>
      <c r="K116" s="366"/>
      <c r="L116" s="365"/>
      <c r="M116" s="367"/>
      <c r="N116" s="368"/>
      <c r="O116" s="368"/>
    </row>
    <row r="117" spans="1:15" ht="10.8" x14ac:dyDescent="0.25">
      <c r="A117" s="360"/>
      <c r="B117" s="361"/>
      <c r="C117" s="372"/>
      <c r="D117" s="370"/>
      <c r="E117" s="371"/>
      <c r="F117" s="371"/>
      <c r="G117" s="371"/>
      <c r="H117" s="371"/>
      <c r="I117" s="371"/>
      <c r="J117" s="365"/>
      <c r="K117" s="366"/>
      <c r="L117" s="365"/>
      <c r="M117" s="367"/>
      <c r="N117" s="368"/>
      <c r="O117" s="368"/>
    </row>
    <row r="118" spans="1:15" ht="10.8" x14ac:dyDescent="0.25">
      <c r="A118" s="360"/>
      <c r="B118" s="361"/>
      <c r="C118" s="372"/>
      <c r="D118" s="370"/>
      <c r="E118" s="371"/>
      <c r="F118" s="371"/>
      <c r="G118" s="371"/>
      <c r="H118" s="371"/>
      <c r="I118" s="371"/>
      <c r="J118" s="365"/>
      <c r="K118" s="366"/>
      <c r="L118" s="365"/>
      <c r="M118" s="367"/>
      <c r="N118" s="368"/>
      <c r="O118" s="368"/>
    </row>
    <row r="119" spans="1:15" ht="10.8" x14ac:dyDescent="0.25">
      <c r="A119" s="360"/>
      <c r="B119" s="361"/>
      <c r="C119" s="372"/>
      <c r="D119" s="370"/>
      <c r="E119" s="371"/>
      <c r="F119" s="371"/>
      <c r="G119" s="371"/>
      <c r="H119" s="371"/>
      <c r="I119" s="371"/>
      <c r="J119" s="365"/>
      <c r="K119" s="366"/>
      <c r="L119" s="365"/>
      <c r="M119" s="367"/>
      <c r="N119" s="368"/>
      <c r="O119" s="368"/>
    </row>
    <row r="120" spans="1:15" ht="10.8" x14ac:dyDescent="0.25">
      <c r="A120" s="360"/>
      <c r="B120" s="361"/>
      <c r="C120" s="372"/>
      <c r="D120" s="370"/>
      <c r="E120" s="371"/>
      <c r="F120" s="371"/>
      <c r="G120" s="371"/>
      <c r="H120" s="371"/>
      <c r="I120" s="371"/>
      <c r="J120" s="365"/>
      <c r="K120" s="366"/>
      <c r="L120" s="365"/>
      <c r="M120" s="367"/>
      <c r="N120" s="368"/>
      <c r="O120" s="368"/>
    </row>
    <row r="121" spans="1:15" ht="10.8" x14ac:dyDescent="0.25">
      <c r="A121" s="360"/>
      <c r="B121" s="361"/>
      <c r="C121" s="372"/>
      <c r="D121" s="370"/>
      <c r="E121" s="371"/>
      <c r="F121" s="371"/>
      <c r="G121" s="371"/>
      <c r="H121" s="371"/>
      <c r="I121" s="371"/>
      <c r="J121" s="365"/>
      <c r="K121" s="366"/>
      <c r="L121" s="365"/>
      <c r="M121" s="367"/>
      <c r="N121" s="368"/>
      <c r="O121" s="368"/>
    </row>
    <row r="122" spans="1:15" ht="10.8" x14ac:dyDescent="0.25">
      <c r="A122" s="360"/>
      <c r="B122" s="361"/>
      <c r="C122" s="372"/>
      <c r="D122" s="370"/>
      <c r="E122" s="371"/>
      <c r="F122" s="371"/>
      <c r="G122" s="371"/>
      <c r="H122" s="371"/>
      <c r="I122" s="371"/>
      <c r="J122" s="365"/>
      <c r="K122" s="366"/>
      <c r="L122" s="365"/>
      <c r="M122" s="367"/>
      <c r="N122" s="368"/>
      <c r="O122" s="368"/>
    </row>
    <row r="123" spans="1:15" ht="10.8" x14ac:dyDescent="0.25">
      <c r="A123" s="360"/>
      <c r="B123" s="361"/>
      <c r="C123" s="372"/>
      <c r="D123" s="370"/>
      <c r="E123" s="371"/>
      <c r="F123" s="371"/>
      <c r="G123" s="371"/>
      <c r="H123" s="371"/>
      <c r="I123" s="371"/>
      <c r="J123" s="365"/>
      <c r="K123" s="366"/>
      <c r="L123" s="365"/>
      <c r="M123" s="367"/>
      <c r="N123" s="368"/>
      <c r="O123" s="368"/>
    </row>
    <row r="124" spans="1:15" ht="10.8" x14ac:dyDescent="0.25">
      <c r="A124" s="360"/>
      <c r="B124" s="361"/>
      <c r="C124" s="372"/>
      <c r="D124" s="370"/>
      <c r="E124" s="371"/>
      <c r="F124" s="371"/>
      <c r="G124" s="371"/>
      <c r="H124" s="371"/>
      <c r="I124" s="371"/>
      <c r="J124" s="365"/>
      <c r="K124" s="366"/>
      <c r="L124" s="365"/>
      <c r="M124" s="367"/>
      <c r="N124" s="368"/>
      <c r="O124" s="368"/>
    </row>
    <row r="125" spans="1:15" ht="10.8" x14ac:dyDescent="0.25">
      <c r="A125" s="360"/>
      <c r="B125" s="361"/>
      <c r="C125" s="372"/>
      <c r="D125" s="370"/>
      <c r="E125" s="371"/>
      <c r="F125" s="371"/>
      <c r="G125" s="371"/>
      <c r="H125" s="371"/>
      <c r="I125" s="371"/>
      <c r="J125" s="365"/>
      <c r="K125" s="366"/>
      <c r="L125" s="365"/>
      <c r="M125" s="367"/>
      <c r="N125" s="368"/>
      <c r="O125" s="368"/>
    </row>
    <row r="126" spans="1:15" ht="10.8" x14ac:dyDescent="0.25">
      <c r="A126" s="360"/>
      <c r="B126" s="361"/>
      <c r="C126" s="372"/>
      <c r="D126" s="370"/>
      <c r="E126" s="371"/>
      <c r="F126" s="371"/>
      <c r="G126" s="371"/>
      <c r="H126" s="371"/>
      <c r="I126" s="371"/>
      <c r="J126" s="365"/>
      <c r="K126" s="366"/>
      <c r="L126" s="365"/>
      <c r="M126" s="367"/>
      <c r="N126" s="368"/>
      <c r="O126" s="368"/>
    </row>
    <row r="127" spans="1:15" ht="10.8" x14ac:dyDescent="0.25">
      <c r="A127" s="360"/>
      <c r="B127" s="361"/>
      <c r="C127" s="372"/>
      <c r="D127" s="370"/>
      <c r="E127" s="371"/>
      <c r="F127" s="371"/>
      <c r="G127" s="371"/>
      <c r="H127" s="371"/>
      <c r="I127" s="371"/>
      <c r="J127" s="365"/>
      <c r="K127" s="366"/>
      <c r="L127" s="365"/>
      <c r="M127" s="367"/>
      <c r="N127" s="368"/>
      <c r="O127" s="368"/>
    </row>
    <row r="128" spans="1:15" ht="10.8" x14ac:dyDescent="0.25">
      <c r="A128" s="360"/>
      <c r="B128" s="361"/>
      <c r="C128" s="372"/>
      <c r="D128" s="370"/>
      <c r="E128" s="371"/>
      <c r="F128" s="371"/>
      <c r="G128" s="371"/>
      <c r="H128" s="371"/>
      <c r="I128" s="371"/>
      <c r="J128" s="365"/>
      <c r="K128" s="366"/>
      <c r="L128" s="365"/>
      <c r="M128" s="367"/>
      <c r="N128" s="368"/>
      <c r="O128" s="368"/>
    </row>
    <row r="129" spans="1:15" ht="10.8" x14ac:dyDescent="0.25">
      <c r="A129" s="360"/>
      <c r="B129" s="361"/>
      <c r="C129" s="372"/>
      <c r="D129" s="370"/>
      <c r="E129" s="371"/>
      <c r="F129" s="371"/>
      <c r="G129" s="371"/>
      <c r="H129" s="371"/>
      <c r="I129" s="371"/>
      <c r="J129" s="365"/>
      <c r="K129" s="366"/>
      <c r="L129" s="365"/>
      <c r="M129" s="367"/>
      <c r="N129" s="368"/>
      <c r="O129" s="368"/>
    </row>
    <row r="130" spans="1:15" ht="10.8" x14ac:dyDescent="0.25">
      <c r="A130" s="360"/>
      <c r="B130" s="361"/>
      <c r="C130" s="372"/>
      <c r="D130" s="370"/>
      <c r="E130" s="371"/>
      <c r="F130" s="371"/>
      <c r="G130" s="371"/>
      <c r="H130" s="371"/>
      <c r="I130" s="371"/>
      <c r="J130" s="365"/>
      <c r="K130" s="366"/>
      <c r="L130" s="365"/>
      <c r="M130" s="367"/>
      <c r="N130" s="368"/>
      <c r="O130" s="368"/>
    </row>
    <row r="131" spans="1:15" ht="10.8" x14ac:dyDescent="0.25">
      <c r="A131" s="360"/>
      <c r="B131" s="361"/>
      <c r="C131" s="372"/>
      <c r="D131" s="370"/>
      <c r="E131" s="371"/>
      <c r="F131" s="371"/>
      <c r="G131" s="371"/>
      <c r="H131" s="371"/>
      <c r="I131" s="371"/>
      <c r="J131" s="365"/>
      <c r="K131" s="366"/>
      <c r="L131" s="365"/>
      <c r="M131" s="367"/>
      <c r="N131" s="368"/>
      <c r="O131" s="368"/>
    </row>
    <row r="132" spans="1:15" ht="10.8" x14ac:dyDescent="0.25">
      <c r="A132" s="360"/>
      <c r="B132" s="361"/>
      <c r="C132" s="372"/>
      <c r="D132" s="370"/>
      <c r="E132" s="371"/>
      <c r="F132" s="371"/>
      <c r="G132" s="371"/>
      <c r="H132" s="371"/>
      <c r="I132" s="371"/>
      <c r="J132" s="365"/>
      <c r="K132" s="366"/>
      <c r="L132" s="365"/>
      <c r="M132" s="367"/>
      <c r="N132" s="368"/>
      <c r="O132" s="368"/>
    </row>
    <row r="133" spans="1:15" ht="11.4" thickBot="1" x14ac:dyDescent="0.3">
      <c r="A133" s="373"/>
      <c r="B133" s="374"/>
      <c r="C133" s="374"/>
      <c r="D133" s="374"/>
      <c r="E133" s="375"/>
      <c r="F133" s="375"/>
      <c r="G133" s="375"/>
      <c r="H133" s="375"/>
      <c r="I133" s="375"/>
      <c r="J133" s="375"/>
      <c r="K133" s="376"/>
      <c r="L133" s="375"/>
      <c r="M133" s="377"/>
      <c r="N133" s="368"/>
      <c r="O133" s="368"/>
    </row>
    <row r="134" spans="1:15" ht="13.2" x14ac:dyDescent="0.25">
      <c r="A134" s="378"/>
      <c r="F134" s="379"/>
      <c r="G134" s="379"/>
      <c r="J134" s="380"/>
    </row>
    <row r="135" spans="1:15" x14ac:dyDescent="0.2">
      <c r="E135" s="378"/>
    </row>
    <row r="137" spans="1:15" x14ac:dyDescent="0.2">
      <c r="J137" s="380"/>
      <c r="L137" s="380"/>
    </row>
    <row r="138" spans="1:15" x14ac:dyDescent="0.2">
      <c r="L138" s="380"/>
    </row>
    <row r="140" spans="1:15" x14ac:dyDescent="0.2">
      <c r="M140" s="380"/>
      <c r="N140" s="380"/>
      <c r="O140" s="380"/>
    </row>
  </sheetData>
  <mergeCells count="6">
    <mergeCell ref="A6:B6"/>
    <mergeCell ref="A1:C1"/>
    <mergeCell ref="D1:M1"/>
    <mergeCell ref="A3:C3"/>
    <mergeCell ref="D3:M3"/>
    <mergeCell ref="A4:C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3B014-F5C7-4C21-A58A-89CA493757BB}">
  <sheetPr codeName="List1"/>
  <dimension ref="A1:AD111"/>
  <sheetViews>
    <sheetView topLeftCell="A86" workbookViewId="0">
      <selection activeCell="G79" sqref="G79:G110"/>
    </sheetView>
  </sheetViews>
  <sheetFormatPr defaultColWidth="8.88671875" defaultRowHeight="14.4" x14ac:dyDescent="0.3"/>
  <cols>
    <col min="1" max="1" width="12.33203125" style="2" bestFit="1" customWidth="1"/>
    <col min="2" max="2" width="26.5546875" style="1" customWidth="1"/>
    <col min="3" max="3" width="12.88671875" style="2" customWidth="1"/>
    <col min="4" max="4" width="15" style="2" customWidth="1"/>
    <col min="5" max="5" width="13.109375" style="2" customWidth="1"/>
    <col min="6" max="6" width="14.109375" style="2" customWidth="1"/>
    <col min="7" max="7" width="16.88671875" style="2" customWidth="1"/>
    <col min="8" max="8" width="13.109375" style="2" customWidth="1"/>
    <col min="9" max="10" width="15.109375" style="2" customWidth="1"/>
    <col min="11" max="11" width="22.88671875" style="3" bestFit="1" customWidth="1"/>
    <col min="12" max="12" width="14.5546875" style="2" bestFit="1" customWidth="1"/>
    <col min="13" max="13" width="13.44140625" style="2" bestFit="1" customWidth="1"/>
    <col min="14" max="14" width="11.33203125" style="2" bestFit="1" customWidth="1"/>
    <col min="15" max="15" width="12.33203125" style="2" bestFit="1" customWidth="1"/>
    <col min="16" max="16" width="14" style="2" bestFit="1" customWidth="1"/>
    <col min="17" max="17" width="13.44140625" style="2" bestFit="1" customWidth="1"/>
    <col min="18" max="18" width="13.44140625" style="2" customWidth="1"/>
    <col min="19" max="19" width="25.44140625" style="2" bestFit="1" customWidth="1"/>
    <col min="20" max="20" width="17.5546875" style="2" bestFit="1" customWidth="1"/>
    <col min="21" max="25" width="17.5546875" style="2" customWidth="1"/>
    <col min="26" max="26" width="17.5546875" customWidth="1"/>
    <col min="27" max="27" width="25.44140625" bestFit="1" customWidth="1"/>
    <col min="28" max="29" width="17.5546875" customWidth="1"/>
    <col min="30" max="30" width="17.5546875" style="2" customWidth="1"/>
    <col min="31" max="31" width="14" style="2" bestFit="1" customWidth="1"/>
    <col min="32" max="32" width="15.109375" style="2" customWidth="1"/>
    <col min="33" max="33" width="14" style="2" customWidth="1"/>
    <col min="34" max="34" width="7.109375" style="2" bestFit="1" customWidth="1"/>
    <col min="35" max="35" width="30.44140625" style="2" bestFit="1" customWidth="1"/>
    <col min="36" max="16384" width="8.88671875" style="2"/>
  </cols>
  <sheetData>
    <row r="1" spans="2:30" ht="15.6" x14ac:dyDescent="0.3">
      <c r="B1" s="6" t="s">
        <v>0</v>
      </c>
      <c r="C1" s="7"/>
      <c r="G1" s="2" t="s">
        <v>42</v>
      </c>
      <c r="K1" s="2"/>
      <c r="L1" s="3"/>
      <c r="Z1" s="2"/>
      <c r="AD1"/>
    </row>
    <row r="2" spans="2:30" ht="15.6" x14ac:dyDescent="0.3">
      <c r="B2" s="6" t="s">
        <v>1</v>
      </c>
      <c r="C2" s="7" t="s">
        <v>646</v>
      </c>
      <c r="E2" s="2" t="s">
        <v>647</v>
      </c>
      <c r="G2" s="4">
        <v>44561</v>
      </c>
      <c r="K2" s="2"/>
      <c r="L2" s="3"/>
      <c r="Z2" s="2"/>
      <c r="AD2"/>
    </row>
    <row r="3" spans="2:30" x14ac:dyDescent="0.3">
      <c r="B3" s="1" t="s">
        <v>7</v>
      </c>
      <c r="D3" s="11">
        <v>30000000</v>
      </c>
      <c r="G3" s="2">
        <v>24.86</v>
      </c>
      <c r="K3" s="2"/>
      <c r="L3" s="3"/>
      <c r="Z3" s="2"/>
      <c r="AD3"/>
    </row>
    <row r="4" spans="2:30" x14ac:dyDescent="0.3">
      <c r="B4" s="1" t="s">
        <v>14</v>
      </c>
      <c r="D4" s="12" t="s">
        <v>15</v>
      </c>
      <c r="K4" s="2"/>
      <c r="L4" s="3"/>
      <c r="Z4" s="2"/>
      <c r="AD4"/>
    </row>
    <row r="5" spans="2:30" x14ac:dyDescent="0.3">
      <c r="B5" s="1" t="s">
        <v>2</v>
      </c>
      <c r="D5" s="10">
        <v>44516</v>
      </c>
      <c r="K5" s="2"/>
      <c r="L5" s="3"/>
      <c r="Z5" s="2"/>
      <c r="AD5"/>
    </row>
    <row r="6" spans="2:30" x14ac:dyDescent="0.3">
      <c r="B6" s="1" t="s">
        <v>8</v>
      </c>
      <c r="D6" s="9">
        <v>4.4999999999999998E-2</v>
      </c>
      <c r="K6" s="2"/>
      <c r="L6" s="3"/>
      <c r="Z6" s="2"/>
      <c r="AD6"/>
    </row>
    <row r="7" spans="2:30" x14ac:dyDescent="0.3">
      <c r="B7" s="1" t="s">
        <v>9</v>
      </c>
      <c r="D7" s="10">
        <v>46342</v>
      </c>
      <c r="G7" s="1"/>
      <c r="K7" s="2"/>
      <c r="L7" s="3"/>
      <c r="Z7" s="2"/>
      <c r="AD7"/>
    </row>
    <row r="8" spans="2:30" x14ac:dyDescent="0.3">
      <c r="K8" s="2"/>
      <c r="L8" s="3"/>
      <c r="Z8" s="2"/>
      <c r="AD8"/>
    </row>
    <row r="9" spans="2:30" s="5" customFormat="1" ht="28.2" thickBot="1" x14ac:dyDescent="0.35">
      <c r="B9" s="13"/>
      <c r="C9" s="14" t="s">
        <v>2</v>
      </c>
      <c r="D9" s="14" t="s">
        <v>5</v>
      </c>
      <c r="E9" s="14" t="s">
        <v>650</v>
      </c>
      <c r="F9" s="14" t="s">
        <v>763</v>
      </c>
      <c r="G9" s="14" t="s">
        <v>6</v>
      </c>
      <c r="H9" s="14" t="s">
        <v>10</v>
      </c>
      <c r="I9" s="14" t="s">
        <v>11</v>
      </c>
      <c r="J9" s="14" t="s">
        <v>12</v>
      </c>
      <c r="N9" s="63"/>
      <c r="Z9"/>
      <c r="AA9"/>
      <c r="AB9"/>
      <c r="AC9"/>
    </row>
    <row r="10" spans="2:30" ht="15" thickTop="1" x14ac:dyDescent="0.3">
      <c r="J10" s="3"/>
      <c r="N10" s="52"/>
    </row>
    <row r="11" spans="2:30" x14ac:dyDescent="0.3">
      <c r="B11" s="1" t="s">
        <v>4</v>
      </c>
      <c r="C11" s="4">
        <f>D5</f>
        <v>44516</v>
      </c>
      <c r="D11" s="1">
        <v>30000000</v>
      </c>
      <c r="E11" s="1">
        <f>D11*100.337%</f>
        <v>30101100.000000004</v>
      </c>
      <c r="F11" s="1">
        <f>E11-D11</f>
        <v>101100.00000000373</v>
      </c>
      <c r="G11" s="4">
        <v>44516</v>
      </c>
      <c r="I11" s="1">
        <v>29741100</v>
      </c>
      <c r="J11" s="3" t="s">
        <v>649</v>
      </c>
      <c r="L11" s="62"/>
      <c r="M11" s="1"/>
      <c r="N11" s="66"/>
      <c r="P11" s="1"/>
    </row>
    <row r="12" spans="2:30" x14ac:dyDescent="0.3">
      <c r="C12" s="4"/>
      <c r="D12" s="1"/>
      <c r="E12" s="8"/>
      <c r="F12" s="8"/>
      <c r="H12" s="1" t="s">
        <v>648</v>
      </c>
      <c r="I12" s="1">
        <f>E11-I11</f>
        <v>360000.00000000373</v>
      </c>
      <c r="J12" s="1" t="s">
        <v>938</v>
      </c>
      <c r="L12" s="1"/>
      <c r="M12" s="66"/>
      <c r="Y12"/>
      <c r="AC12" s="2"/>
    </row>
    <row r="13" spans="2:30" s="19" customFormat="1" x14ac:dyDescent="0.3">
      <c r="B13" s="15"/>
      <c r="C13" s="16"/>
      <c r="D13" s="15"/>
      <c r="E13" s="17"/>
      <c r="F13" s="15"/>
      <c r="G13" s="16"/>
      <c r="H13" s="15"/>
      <c r="I13" s="15"/>
      <c r="J13" s="15"/>
      <c r="K13" s="18"/>
      <c r="L13" s="62"/>
      <c r="M13" s="1"/>
      <c r="N13" s="66"/>
      <c r="O13" s="2"/>
      <c r="Z13"/>
      <c r="AA13"/>
      <c r="AB13"/>
      <c r="AC13"/>
    </row>
    <row r="14" spans="2:30" x14ac:dyDescent="0.3">
      <c r="C14" s="4"/>
      <c r="D14" s="1"/>
      <c r="E14" s="8"/>
      <c r="F14" s="1"/>
      <c r="G14" s="4"/>
      <c r="H14" s="1"/>
      <c r="I14" s="1"/>
      <c r="J14" s="1"/>
      <c r="L14" s="62"/>
      <c r="M14" s="1"/>
      <c r="N14" s="66"/>
    </row>
    <row r="15" spans="2:30" x14ac:dyDescent="0.3">
      <c r="L15" s="68"/>
      <c r="M15" s="1"/>
      <c r="U15"/>
    </row>
    <row r="16" spans="2:30" ht="13.8" x14ac:dyDescent="0.3">
      <c r="K16" s="2"/>
      <c r="Z16" s="2"/>
      <c r="AA16" s="2"/>
      <c r="AB16" s="2"/>
      <c r="AC16" s="2"/>
    </row>
    <row r="17" spans="1:29" thickBot="1" x14ac:dyDescent="0.35">
      <c r="B17" s="23"/>
      <c r="C17" s="24" t="s">
        <v>21</v>
      </c>
      <c r="D17" s="24" t="s">
        <v>4</v>
      </c>
      <c r="E17" s="31"/>
      <c r="F17" s="31" t="s">
        <v>765</v>
      </c>
      <c r="G17" s="31" t="s">
        <v>767</v>
      </c>
      <c r="H17" s="31"/>
      <c r="I17" s="31"/>
      <c r="J17" s="31"/>
      <c r="K17" s="20" t="s">
        <v>767</v>
      </c>
      <c r="Z17" s="2"/>
      <c r="AA17" s="2"/>
      <c r="AB17" s="2"/>
      <c r="AC17" s="2"/>
    </row>
    <row r="18" spans="1:29" thickTop="1" x14ac:dyDescent="0.3">
      <c r="B18" s="25" t="s">
        <v>2</v>
      </c>
      <c r="C18" s="22"/>
      <c r="D18" s="33">
        <f>D5</f>
        <v>44516</v>
      </c>
      <c r="E18" s="4"/>
      <c r="F18" s="4"/>
      <c r="G18" s="4"/>
      <c r="H18" s="4"/>
      <c r="I18" s="4"/>
      <c r="J18" s="4"/>
      <c r="K18" s="96">
        <v>101100</v>
      </c>
      <c r="L18" s="2" t="s">
        <v>15</v>
      </c>
      <c r="Z18" s="2"/>
      <c r="AA18" s="2"/>
      <c r="AB18" s="2"/>
      <c r="AC18" s="2"/>
    </row>
    <row r="19" spans="1:29" ht="13.8" x14ac:dyDescent="0.3">
      <c r="B19" s="25" t="s">
        <v>5</v>
      </c>
      <c r="C19" s="22"/>
      <c r="D19" s="28">
        <f>D11</f>
        <v>30000000</v>
      </c>
      <c r="E19" s="32"/>
      <c r="F19" s="1" t="s">
        <v>764</v>
      </c>
      <c r="G19" s="1" t="s">
        <v>764</v>
      </c>
      <c r="H19" s="32"/>
      <c r="I19" s="32"/>
      <c r="J19" s="32"/>
      <c r="K19" s="11">
        <f>K18*25.23</f>
        <v>2550753</v>
      </c>
      <c r="L19" s="2" t="s">
        <v>16</v>
      </c>
      <c r="Z19" s="2"/>
      <c r="AA19" s="2"/>
      <c r="AB19" s="2"/>
      <c r="AC19" s="2"/>
    </row>
    <row r="20" spans="1:29" ht="13.8" x14ac:dyDescent="0.3">
      <c r="B20" s="25" t="s">
        <v>650</v>
      </c>
      <c r="C20" s="22"/>
      <c r="D20" s="28">
        <f>D19*100.337%</f>
        <v>30101100.000000004</v>
      </c>
      <c r="E20" s="96">
        <v>101100</v>
      </c>
      <c r="F20" s="1" t="s">
        <v>766</v>
      </c>
      <c r="G20" s="2" t="s">
        <v>770</v>
      </c>
      <c r="H20" s="32"/>
      <c r="I20" s="32"/>
      <c r="J20" s="32" t="s">
        <v>769</v>
      </c>
      <c r="K20" s="1">
        <f>K19/1826</f>
        <v>1396.907447973713</v>
      </c>
      <c r="L20" s="2" t="s">
        <v>770</v>
      </c>
      <c r="Z20" s="2"/>
      <c r="AA20" s="2"/>
      <c r="AB20" s="2"/>
      <c r="AC20" s="2"/>
    </row>
    <row r="21" spans="1:29" ht="13.8" x14ac:dyDescent="0.3">
      <c r="B21" s="25" t="s">
        <v>3</v>
      </c>
      <c r="C21" s="22"/>
      <c r="D21" s="194"/>
      <c r="E21" s="8"/>
      <c r="F21" s="8"/>
      <c r="G21" s="8" t="s">
        <v>768</v>
      </c>
      <c r="H21" s="8"/>
      <c r="I21" s="8"/>
      <c r="J21" s="97">
        <v>2021</v>
      </c>
      <c r="K21" s="21">
        <f>K20*(D45+D46)</f>
        <v>62860.835158817084</v>
      </c>
      <c r="L21" s="2" t="s">
        <v>16</v>
      </c>
      <c r="Z21" s="2"/>
      <c r="AA21" s="2"/>
      <c r="AB21" s="2"/>
      <c r="AC21" s="2"/>
    </row>
    <row r="22" spans="1:29" ht="13.8" x14ac:dyDescent="0.3">
      <c r="B22" s="25" t="s">
        <v>17</v>
      </c>
      <c r="C22" s="22"/>
      <c r="D22" s="21"/>
      <c r="E22" s="1"/>
      <c r="F22" s="1"/>
      <c r="G22" s="1"/>
      <c r="H22" s="1"/>
      <c r="I22" s="1"/>
      <c r="J22" s="97">
        <v>2022</v>
      </c>
      <c r="K22" s="21">
        <f>$K$20*365</f>
        <v>509871.21851040528</v>
      </c>
      <c r="Z22" s="2"/>
      <c r="AA22" s="2"/>
      <c r="AB22" s="2"/>
      <c r="AC22" s="2"/>
    </row>
    <row r="23" spans="1:29" ht="13.8" x14ac:dyDescent="0.3">
      <c r="B23" s="25" t="s">
        <v>6</v>
      </c>
      <c r="C23" s="22"/>
      <c r="D23" s="33">
        <f>G11</f>
        <v>44516</v>
      </c>
      <c r="E23" s="4"/>
      <c r="F23" s="4"/>
      <c r="G23" s="4"/>
      <c r="H23" s="4"/>
      <c r="I23" s="4"/>
      <c r="J23" s="97">
        <v>2023</v>
      </c>
      <c r="K23" s="21">
        <f t="shared" ref="K23:K25" si="0">$K$20*365</f>
        <v>509871.21851040528</v>
      </c>
      <c r="Z23" s="2"/>
      <c r="AA23" s="2"/>
      <c r="AB23" s="2"/>
      <c r="AC23" s="2"/>
    </row>
    <row r="24" spans="1:29" ht="13.8" x14ac:dyDescent="0.3">
      <c r="B24" s="25" t="s">
        <v>18</v>
      </c>
      <c r="C24" s="22"/>
      <c r="D24" s="22"/>
      <c r="J24" s="97">
        <v>2024</v>
      </c>
      <c r="K24" s="21">
        <f>$K$20*366</f>
        <v>511268.12595837895</v>
      </c>
      <c r="Z24" s="2"/>
      <c r="AA24" s="2"/>
      <c r="AB24" s="2"/>
      <c r="AC24" s="2"/>
    </row>
    <row r="25" spans="1:29" ht="13.8" x14ac:dyDescent="0.3">
      <c r="B25" s="25" t="s">
        <v>19</v>
      </c>
      <c r="C25" s="22"/>
      <c r="D25" s="21">
        <f>I11</f>
        <v>29741100</v>
      </c>
      <c r="E25" s="1"/>
      <c r="F25" s="1"/>
      <c r="G25" s="1"/>
      <c r="H25" s="1"/>
      <c r="I25" s="1"/>
      <c r="J25" s="97">
        <v>2025</v>
      </c>
      <c r="K25" s="21">
        <f t="shared" si="0"/>
        <v>509871.21851040528</v>
      </c>
      <c r="Z25" s="2"/>
      <c r="AA25" s="2"/>
      <c r="AB25" s="2"/>
      <c r="AC25" s="2"/>
    </row>
    <row r="26" spans="1:29" ht="13.8" x14ac:dyDescent="0.3">
      <c r="B26" s="25" t="s">
        <v>12</v>
      </c>
      <c r="C26" s="26"/>
      <c r="D26" s="26" t="s">
        <v>13</v>
      </c>
      <c r="E26" s="3"/>
      <c r="F26" s="3"/>
      <c r="G26" s="3"/>
      <c r="H26" s="3"/>
      <c r="I26" s="3"/>
      <c r="J26" s="97">
        <v>2026</v>
      </c>
      <c r="K26" s="21">
        <f>K20*SUM(D99:D109)</f>
        <v>447010.38335158816</v>
      </c>
      <c r="Z26" s="2"/>
      <c r="AA26" s="2"/>
      <c r="AB26" s="2"/>
      <c r="AC26" s="2"/>
    </row>
    <row r="27" spans="1:29" ht="13.8" x14ac:dyDescent="0.3">
      <c r="B27" s="5"/>
      <c r="C27" s="3"/>
      <c r="D27" s="3"/>
      <c r="E27" s="3"/>
      <c r="F27" s="3"/>
      <c r="G27" s="3"/>
      <c r="H27" s="3"/>
      <c r="I27" s="3"/>
      <c r="J27" s="3"/>
      <c r="K27" s="11">
        <f>SUM(K21:K26)</f>
        <v>2550753</v>
      </c>
      <c r="Z27" s="2"/>
      <c r="AA27" s="2"/>
      <c r="AB27" s="2"/>
      <c r="AC27" s="2"/>
    </row>
    <row r="28" spans="1:29" ht="13.8" x14ac:dyDescent="0.3">
      <c r="B28" s="29" t="s">
        <v>24</v>
      </c>
      <c r="C28" s="3"/>
      <c r="D28" s="3" t="s">
        <v>15</v>
      </c>
      <c r="E28" s="3"/>
      <c r="F28" s="3"/>
      <c r="G28" s="3"/>
      <c r="H28" s="3"/>
      <c r="I28" s="3"/>
      <c r="J28" s="3"/>
      <c r="K28" s="2"/>
      <c r="Z28" s="2"/>
      <c r="AA28" s="2"/>
      <c r="AB28" s="2"/>
      <c r="AC28" s="2"/>
    </row>
    <row r="29" spans="1:29" ht="13.8" x14ac:dyDescent="0.3">
      <c r="B29" s="188" t="s">
        <v>20</v>
      </c>
      <c r="C29" s="189"/>
      <c r="D29" s="188">
        <f>D19*1.2%</f>
        <v>360000</v>
      </c>
      <c r="E29" s="1"/>
      <c r="F29" s="1" t="s">
        <v>774</v>
      </c>
      <c r="G29" s="51" t="s">
        <v>771</v>
      </c>
      <c r="H29" s="1"/>
      <c r="I29" s="1"/>
      <c r="J29" s="1"/>
      <c r="K29" s="2"/>
      <c r="Z29" s="2"/>
      <c r="AA29" s="2"/>
      <c r="AB29" s="2"/>
      <c r="AC29" s="2"/>
    </row>
    <row r="30" spans="1:29" s="52" customFormat="1" x14ac:dyDescent="0.3">
      <c r="A30" s="52" t="s">
        <v>935</v>
      </c>
      <c r="B30" s="188" t="s">
        <v>773</v>
      </c>
      <c r="C30" s="190">
        <v>89116</v>
      </c>
      <c r="D30" s="191">
        <f>C30/25.23</f>
        <v>3532.1442726912405</v>
      </c>
      <c r="E30" s="51"/>
      <c r="F30" s="1" t="s">
        <v>936</v>
      </c>
      <c r="G30" s="51" t="s">
        <v>771</v>
      </c>
      <c r="H30" s="51"/>
      <c r="I30" s="51"/>
      <c r="J30" s="51"/>
      <c r="L30" s="101"/>
    </row>
    <row r="31" spans="1:29" s="52" customFormat="1" x14ac:dyDescent="0.3">
      <c r="A31" s="52" t="s">
        <v>934</v>
      </c>
      <c r="B31" s="188" t="s">
        <v>40</v>
      </c>
      <c r="C31" s="192">
        <v>50000</v>
      </c>
      <c r="D31" s="191">
        <f>C31/25.23</f>
        <v>1981.7677368212446</v>
      </c>
      <c r="E31" s="51"/>
      <c r="F31" s="1" t="s">
        <v>936</v>
      </c>
      <c r="G31" s="51" t="s">
        <v>771</v>
      </c>
      <c r="H31" s="51"/>
      <c r="I31" s="51"/>
      <c r="J31" s="51"/>
      <c r="L31" s="101"/>
    </row>
    <row r="32" spans="1:29" s="52" customFormat="1" x14ac:dyDescent="0.3">
      <c r="A32" s="52" t="s">
        <v>937</v>
      </c>
      <c r="B32" s="15"/>
      <c r="C32" s="193"/>
      <c r="D32" s="195">
        <f>SUM(D29:D31)</f>
        <v>365513.91200951248</v>
      </c>
      <c r="E32" s="51"/>
      <c r="F32" s="1"/>
      <c r="G32" s="51"/>
      <c r="H32" s="51"/>
      <c r="I32" s="51"/>
      <c r="J32" s="51"/>
      <c r="L32" s="101"/>
    </row>
    <row r="33" spans="1:29" ht="13.8" x14ac:dyDescent="0.3">
      <c r="D33" s="1"/>
      <c r="E33" s="1"/>
      <c r="F33" s="1"/>
      <c r="G33" s="1"/>
      <c r="H33" s="1"/>
      <c r="I33" s="1"/>
      <c r="J33" s="1"/>
      <c r="K33" s="2"/>
      <c r="Z33" s="2"/>
      <c r="AA33" s="2"/>
      <c r="AB33" s="2"/>
      <c r="AC33" s="2"/>
    </row>
    <row r="34" spans="1:29" ht="13.8" x14ac:dyDescent="0.3">
      <c r="B34" s="21" t="s">
        <v>27</v>
      </c>
      <c r="C34" s="33">
        <v>44516</v>
      </c>
      <c r="D34" s="21">
        <f>D20-D32</f>
        <v>29735586.087990493</v>
      </c>
      <c r="E34" s="1"/>
      <c r="F34" s="1"/>
      <c r="G34" s="1"/>
      <c r="H34" s="1"/>
      <c r="I34" s="1"/>
      <c r="J34" s="1"/>
      <c r="K34" s="2"/>
      <c r="Z34" s="2"/>
      <c r="AA34" s="2"/>
      <c r="AB34" s="2"/>
      <c r="AC34" s="2"/>
    </row>
    <row r="35" spans="1:29" ht="13.8" x14ac:dyDescent="0.3">
      <c r="A35" s="1"/>
      <c r="B35" s="21" t="s">
        <v>30</v>
      </c>
      <c r="C35" s="33">
        <v>44881</v>
      </c>
      <c r="D35" s="21">
        <f>-$D$19*$D$6</f>
        <v>-1350000</v>
      </c>
      <c r="E35" s="1"/>
      <c r="F35" s="1"/>
      <c r="G35" s="1"/>
      <c r="H35" s="1"/>
      <c r="I35" s="1"/>
      <c r="J35" s="1"/>
      <c r="K35" s="2"/>
      <c r="Z35" s="2"/>
      <c r="AA35" s="2"/>
      <c r="AB35" s="2"/>
      <c r="AC35" s="2"/>
    </row>
    <row r="36" spans="1:29" ht="13.8" x14ac:dyDescent="0.3">
      <c r="B36" s="21" t="s">
        <v>30</v>
      </c>
      <c r="C36" s="33">
        <v>45246</v>
      </c>
      <c r="D36" s="21">
        <f t="shared" ref="D36:D39" si="1">-$D$19*$D$6</f>
        <v>-1350000</v>
      </c>
      <c r="E36" s="1"/>
      <c r="F36" s="1"/>
      <c r="G36" s="1"/>
      <c r="H36" s="1"/>
      <c r="I36" s="1"/>
      <c r="J36" s="1"/>
      <c r="K36" s="2"/>
      <c r="Z36" s="2"/>
      <c r="AA36" s="2"/>
      <c r="AB36" s="2"/>
      <c r="AC36" s="2"/>
    </row>
    <row r="37" spans="1:29" ht="13.8" x14ac:dyDescent="0.3">
      <c r="B37" s="21" t="s">
        <v>30</v>
      </c>
      <c r="C37" s="33">
        <v>45612</v>
      </c>
      <c r="D37" s="21">
        <f t="shared" si="1"/>
        <v>-1350000</v>
      </c>
      <c r="E37" s="1"/>
      <c r="F37" s="1"/>
      <c r="G37" s="1"/>
      <c r="H37" s="1"/>
      <c r="I37" s="1"/>
      <c r="J37" s="1"/>
      <c r="K37" s="2"/>
      <c r="Z37" s="2"/>
      <c r="AA37" s="2"/>
      <c r="AB37" s="2"/>
      <c r="AC37" s="2"/>
    </row>
    <row r="38" spans="1:29" ht="13.8" x14ac:dyDescent="0.3">
      <c r="B38" s="21" t="s">
        <v>30</v>
      </c>
      <c r="C38" s="33">
        <v>45977</v>
      </c>
      <c r="D38" s="21">
        <f t="shared" si="1"/>
        <v>-1350000</v>
      </c>
      <c r="F38" s="1"/>
      <c r="G38" s="1"/>
      <c r="H38" s="1"/>
      <c r="I38" s="1"/>
      <c r="J38" s="1"/>
      <c r="K38" s="2"/>
      <c r="Z38" s="2"/>
      <c r="AA38" s="2"/>
      <c r="AB38" s="2"/>
      <c r="AC38" s="2"/>
    </row>
    <row r="39" spans="1:29" ht="13.8" x14ac:dyDescent="0.3">
      <c r="B39" s="21" t="s">
        <v>30</v>
      </c>
      <c r="C39" s="33">
        <v>46342</v>
      </c>
      <c r="D39" s="21">
        <f t="shared" si="1"/>
        <v>-1350000</v>
      </c>
      <c r="F39" s="1"/>
      <c r="G39" s="1"/>
      <c r="H39" s="1"/>
      <c r="I39" s="1"/>
      <c r="J39" s="1"/>
      <c r="K39" s="2"/>
      <c r="Z39" s="2"/>
      <c r="AA39" s="2"/>
      <c r="AB39" s="2"/>
      <c r="AC39" s="2"/>
    </row>
    <row r="40" spans="1:29" ht="13.8" x14ac:dyDescent="0.3">
      <c r="B40" s="21" t="s">
        <v>28</v>
      </c>
      <c r="C40" s="33">
        <v>46342</v>
      </c>
      <c r="D40" s="21">
        <f>-D19</f>
        <v>-30000000</v>
      </c>
      <c r="F40" s="1"/>
      <c r="G40" s="1"/>
      <c r="H40" s="1"/>
      <c r="I40" s="1"/>
      <c r="J40" s="1"/>
      <c r="K40" s="2"/>
      <c r="Z40" s="2"/>
      <c r="AA40" s="2"/>
      <c r="AB40" s="2"/>
      <c r="AC40" s="2"/>
    </row>
    <row r="41" spans="1:29" ht="13.8" x14ac:dyDescent="0.3">
      <c r="B41" s="28" t="s">
        <v>29</v>
      </c>
      <c r="C41" s="34">
        <f>XIRR(D34:D40,C34:C40)</f>
        <v>4.6992728114128107E-2</v>
      </c>
      <c r="D41" s="28">
        <f>SUM(D34:D40)</f>
        <v>-7014413.9120095074</v>
      </c>
      <c r="E41" s="1"/>
      <c r="F41" s="1"/>
      <c r="G41" s="1"/>
      <c r="H41" s="1"/>
      <c r="I41" s="1"/>
      <c r="J41" s="1"/>
      <c r="K41" s="2"/>
      <c r="Z41" s="2"/>
      <c r="AA41" s="2"/>
      <c r="AB41" s="2"/>
      <c r="AC41" s="2"/>
    </row>
    <row r="42" spans="1:29" thickBot="1" x14ac:dyDescent="0.35">
      <c r="E42" s="3" t="s">
        <v>38</v>
      </c>
      <c r="F42" s="3" t="s">
        <v>39</v>
      </c>
      <c r="K42" s="2"/>
      <c r="Z42" s="2"/>
      <c r="AA42" s="2"/>
      <c r="AB42" s="2"/>
      <c r="AC42" s="2"/>
    </row>
    <row r="43" spans="1:29" ht="27.6" x14ac:dyDescent="0.3">
      <c r="B43" s="39" t="s">
        <v>25</v>
      </c>
      <c r="C43" s="40" t="s">
        <v>26</v>
      </c>
      <c r="D43" s="40" t="s">
        <v>31</v>
      </c>
      <c r="E43" s="41" t="s">
        <v>22</v>
      </c>
      <c r="F43" s="41" t="s">
        <v>33</v>
      </c>
      <c r="G43" s="42" t="s">
        <v>34</v>
      </c>
      <c r="H43" s="43" t="s">
        <v>651</v>
      </c>
      <c r="I43" s="2" t="s">
        <v>652</v>
      </c>
      <c r="K43" s="2"/>
      <c r="Z43" s="2"/>
      <c r="AA43" s="2"/>
      <c r="AB43" s="2"/>
      <c r="AC43" s="2"/>
    </row>
    <row r="44" spans="1:29" ht="13.8" x14ac:dyDescent="0.3">
      <c r="B44" s="44" t="s">
        <v>32</v>
      </c>
      <c r="C44" s="37">
        <v>44516</v>
      </c>
      <c r="D44" s="36"/>
      <c r="E44" s="28"/>
      <c r="F44" s="22">
        <v>0</v>
      </c>
      <c r="G44" s="28">
        <f>D34</f>
        <v>29735586.087990493</v>
      </c>
      <c r="H44" s="45">
        <f>G44</f>
        <v>29735586.087990493</v>
      </c>
      <c r="I44" s="32">
        <f>D19</f>
        <v>30000000</v>
      </c>
      <c r="J44" s="32"/>
      <c r="K44" s="2"/>
      <c r="Z44" s="2"/>
      <c r="AA44" s="2"/>
      <c r="AB44" s="2"/>
      <c r="AC44" s="2"/>
    </row>
    <row r="45" spans="1:29" ht="13.8" x14ac:dyDescent="0.3">
      <c r="B45" s="46" t="s">
        <v>35</v>
      </c>
      <c r="C45" s="30">
        <v>44530</v>
      </c>
      <c r="D45" s="22">
        <f>C45-C44</f>
        <v>14</v>
      </c>
      <c r="E45" s="21">
        <f>$D$19*$D$6/360*D45</f>
        <v>52500</v>
      </c>
      <c r="F45" s="60">
        <f>H44*(1+$C$41)^(D45/365)-H44</f>
        <v>52422.155848771334</v>
      </c>
      <c r="G45" s="21"/>
      <c r="H45" s="47">
        <f>H44+F45+G45</f>
        <v>29788008.243839264</v>
      </c>
      <c r="I45" s="38">
        <f>I44+E45+G45</f>
        <v>30052500</v>
      </c>
      <c r="J45" s="38"/>
      <c r="K45" s="22" t="s">
        <v>23</v>
      </c>
      <c r="Z45" s="2"/>
      <c r="AA45" s="2"/>
      <c r="AB45" s="2"/>
      <c r="AC45" s="2"/>
    </row>
    <row r="46" spans="1:29" s="59" customFormat="1" ht="13.8" x14ac:dyDescent="0.3">
      <c r="A46" s="196">
        <f>SUM(F45:F46)</f>
        <v>168828.90433562547</v>
      </c>
      <c r="B46" s="53" t="s">
        <v>35</v>
      </c>
      <c r="C46" s="54">
        <v>44561</v>
      </c>
      <c r="D46" s="55">
        <f t="shared" ref="D46:D82" si="2">C46-C45</f>
        <v>31</v>
      </c>
      <c r="E46" s="56">
        <f t="shared" ref="E46:E56" si="3">$D$19*$D$6/12</f>
        <v>112500</v>
      </c>
      <c r="F46" s="102">
        <f t="shared" ref="F46:F109" si="4">H45*(1+$C$41)^(D46/365)-H45</f>
        <v>116406.74848685414</v>
      </c>
      <c r="G46" s="56"/>
      <c r="H46" s="57">
        <f t="shared" ref="H46:H110" si="5">H45+F46+G46</f>
        <v>29904414.992326118</v>
      </c>
      <c r="I46" s="38">
        <f t="shared" ref="I46:I110" si="6">I45+E46+G46</f>
        <v>30165000</v>
      </c>
      <c r="J46" s="38"/>
      <c r="K46" s="55" t="s">
        <v>23</v>
      </c>
    </row>
    <row r="47" spans="1:29" ht="13.8" x14ac:dyDescent="0.3">
      <c r="B47" s="46" t="s">
        <v>35</v>
      </c>
      <c r="C47" s="30">
        <v>44592</v>
      </c>
      <c r="D47" s="22">
        <f t="shared" si="2"/>
        <v>31</v>
      </c>
      <c r="E47" s="21">
        <f t="shared" si="3"/>
        <v>112500</v>
      </c>
      <c r="F47" s="35">
        <f t="shared" si="4"/>
        <v>116861.64735026285</v>
      </c>
      <c r="G47" s="21"/>
      <c r="H47" s="47">
        <f t="shared" si="5"/>
        <v>30021276.639676381</v>
      </c>
      <c r="I47" s="38">
        <f t="shared" si="6"/>
        <v>30277500</v>
      </c>
      <c r="J47" s="38"/>
      <c r="K47" s="22" t="s">
        <v>23</v>
      </c>
      <c r="Z47" s="2"/>
      <c r="AA47" s="2"/>
      <c r="AB47" s="2"/>
      <c r="AC47" s="2"/>
    </row>
    <row r="48" spans="1:29" ht="13.8" x14ac:dyDescent="0.3">
      <c r="B48" s="46" t="s">
        <v>35</v>
      </c>
      <c r="C48" s="30">
        <v>44620</v>
      </c>
      <c r="D48" s="22">
        <f t="shared" si="2"/>
        <v>28</v>
      </c>
      <c r="E48" s="21">
        <f t="shared" si="3"/>
        <v>112500</v>
      </c>
      <c r="F48" s="35">
        <f t="shared" si="4"/>
        <v>105944.92946660146</v>
      </c>
      <c r="G48" s="21"/>
      <c r="H48" s="47">
        <f t="shared" si="5"/>
        <v>30127221.569142982</v>
      </c>
      <c r="I48" s="38">
        <f t="shared" si="6"/>
        <v>30390000</v>
      </c>
      <c r="J48" s="38"/>
      <c r="K48" s="22" t="s">
        <v>23</v>
      </c>
      <c r="Z48" s="2"/>
      <c r="AA48" s="2"/>
      <c r="AB48" s="2"/>
      <c r="AC48" s="2"/>
    </row>
    <row r="49" spans="1:29" ht="13.8" x14ac:dyDescent="0.3">
      <c r="B49" s="46" t="s">
        <v>35</v>
      </c>
      <c r="C49" s="30">
        <v>44651</v>
      </c>
      <c r="D49" s="22">
        <f t="shared" si="2"/>
        <v>31</v>
      </c>
      <c r="E49" s="21">
        <f t="shared" si="3"/>
        <v>112500</v>
      </c>
      <c r="F49" s="60">
        <f t="shared" si="4"/>
        <v>117732.33964148536</v>
      </c>
      <c r="G49" s="21"/>
      <c r="H49" s="47">
        <f t="shared" si="5"/>
        <v>30244953.908784468</v>
      </c>
      <c r="I49" s="38">
        <f t="shared" si="6"/>
        <v>30502500</v>
      </c>
      <c r="J49" s="38"/>
      <c r="K49" s="22" t="s">
        <v>23</v>
      </c>
      <c r="Z49" s="2"/>
      <c r="AA49" s="2"/>
      <c r="AB49" s="2"/>
      <c r="AC49" s="2"/>
    </row>
    <row r="50" spans="1:29" ht="13.8" x14ac:dyDescent="0.3">
      <c r="B50" s="46" t="s">
        <v>35</v>
      </c>
      <c r="C50" s="30">
        <v>44681</v>
      </c>
      <c r="D50" s="22">
        <f t="shared" si="2"/>
        <v>30</v>
      </c>
      <c r="E50" s="21">
        <f t="shared" si="3"/>
        <v>112500</v>
      </c>
      <c r="F50" s="60">
        <f t="shared" si="4"/>
        <v>114372.56039090082</v>
      </c>
      <c r="G50" s="21"/>
      <c r="H50" s="47">
        <f t="shared" si="5"/>
        <v>30359326.469175369</v>
      </c>
      <c r="I50" s="38">
        <f t="shared" si="6"/>
        <v>30615000</v>
      </c>
      <c r="J50" s="38"/>
      <c r="K50" s="22" t="s">
        <v>23</v>
      </c>
      <c r="Z50" s="2"/>
      <c r="AA50" s="2"/>
      <c r="AB50" s="2"/>
      <c r="AC50" s="2"/>
    </row>
    <row r="51" spans="1:29" ht="13.8" x14ac:dyDescent="0.3">
      <c r="B51" s="46" t="s">
        <v>35</v>
      </c>
      <c r="C51" s="30">
        <v>44712</v>
      </c>
      <c r="D51" s="22">
        <f t="shared" si="2"/>
        <v>31</v>
      </c>
      <c r="E51" s="21">
        <f t="shared" si="3"/>
        <v>112500</v>
      </c>
      <c r="F51" s="35">
        <f t="shared" si="4"/>
        <v>118639.36828534305</v>
      </c>
      <c r="G51" s="21"/>
      <c r="H51" s="47">
        <f t="shared" si="5"/>
        <v>30477965.837460712</v>
      </c>
      <c r="I51" s="38">
        <f t="shared" si="6"/>
        <v>30727500</v>
      </c>
      <c r="J51" s="38"/>
      <c r="K51" s="22" t="s">
        <v>23</v>
      </c>
      <c r="Z51" s="2"/>
      <c r="AA51" s="2"/>
      <c r="AB51" s="2"/>
      <c r="AC51" s="2"/>
    </row>
    <row r="52" spans="1:29" ht="13.8" x14ac:dyDescent="0.3">
      <c r="A52" s="333"/>
      <c r="B52" s="326" t="s">
        <v>35</v>
      </c>
      <c r="C52" s="327">
        <v>44742</v>
      </c>
      <c r="D52" s="328">
        <f t="shared" si="2"/>
        <v>30</v>
      </c>
      <c r="E52" s="329">
        <f t="shared" si="3"/>
        <v>112500</v>
      </c>
      <c r="F52" s="330">
        <f t="shared" si="4"/>
        <v>115253.70476178452</v>
      </c>
      <c r="G52" s="329"/>
      <c r="H52" s="334">
        <f t="shared" si="5"/>
        <v>30593219.542222496</v>
      </c>
      <c r="I52" s="335">
        <f t="shared" si="6"/>
        <v>30840000</v>
      </c>
      <c r="J52" s="38"/>
      <c r="K52" s="22" t="s">
        <v>23</v>
      </c>
      <c r="Z52" s="2"/>
      <c r="AA52" s="2"/>
      <c r="AB52" s="2"/>
      <c r="AC52" s="2"/>
    </row>
    <row r="53" spans="1:29" ht="13.8" x14ac:dyDescent="0.3">
      <c r="B53" s="46" t="s">
        <v>35</v>
      </c>
      <c r="C53" s="30">
        <v>44773</v>
      </c>
      <c r="D53" s="22">
        <f t="shared" si="2"/>
        <v>31</v>
      </c>
      <c r="E53" s="21">
        <f t="shared" si="3"/>
        <v>112500</v>
      </c>
      <c r="F53" s="35">
        <f t="shared" si="4"/>
        <v>119553.38482193276</v>
      </c>
      <c r="G53" s="21"/>
      <c r="H53" s="47">
        <f t="shared" si="5"/>
        <v>30712772.927044429</v>
      </c>
      <c r="I53" s="38">
        <f t="shared" si="6"/>
        <v>30952500</v>
      </c>
      <c r="J53" s="38"/>
      <c r="K53" s="22" t="s">
        <v>23</v>
      </c>
      <c r="Z53" s="2"/>
      <c r="AA53" s="2"/>
      <c r="AB53" s="2"/>
      <c r="AC53" s="2"/>
    </row>
    <row r="54" spans="1:29" ht="13.8" x14ac:dyDescent="0.3">
      <c r="B54" s="46" t="s">
        <v>35</v>
      </c>
      <c r="C54" s="30">
        <v>44804</v>
      </c>
      <c r="D54" s="22">
        <f t="shared" si="2"/>
        <v>31</v>
      </c>
      <c r="E54" s="21">
        <f t="shared" si="3"/>
        <v>112500</v>
      </c>
      <c r="F54" s="35">
        <f t="shared" si="4"/>
        <v>120020.58023438975</v>
      </c>
      <c r="G54" s="21"/>
      <c r="H54" s="47">
        <f t="shared" si="5"/>
        <v>30832793.507278819</v>
      </c>
      <c r="I54" s="38">
        <f t="shared" si="6"/>
        <v>31065000</v>
      </c>
      <c r="J54" s="38"/>
      <c r="K54" s="22" t="s">
        <v>23</v>
      </c>
      <c r="Z54" s="2"/>
      <c r="AA54" s="2"/>
      <c r="AB54" s="2"/>
      <c r="AC54" s="2"/>
    </row>
    <row r="55" spans="1:29" ht="13.8" x14ac:dyDescent="0.3">
      <c r="B55" s="46" t="s">
        <v>35</v>
      </c>
      <c r="C55" s="30">
        <v>44834</v>
      </c>
      <c r="D55" s="22">
        <f t="shared" si="2"/>
        <v>30</v>
      </c>
      <c r="E55" s="21">
        <f t="shared" si="3"/>
        <v>112500</v>
      </c>
      <c r="F55" s="35">
        <f t="shared" si="4"/>
        <v>116595.50046155602</v>
      </c>
      <c r="G55" s="21"/>
      <c r="H55" s="47">
        <f t="shared" si="5"/>
        <v>30949389.007740375</v>
      </c>
      <c r="I55" s="38">
        <f t="shared" si="6"/>
        <v>31177500</v>
      </c>
      <c r="J55" s="38"/>
      <c r="K55" s="22" t="s">
        <v>23</v>
      </c>
      <c r="Z55" s="2"/>
      <c r="AA55" s="2"/>
      <c r="AB55" s="2"/>
      <c r="AC55" s="2"/>
    </row>
    <row r="56" spans="1:29" ht="13.8" x14ac:dyDescent="0.3">
      <c r="B56" s="46" t="s">
        <v>35</v>
      </c>
      <c r="C56" s="30">
        <v>44865</v>
      </c>
      <c r="D56" s="22">
        <f t="shared" si="2"/>
        <v>31</v>
      </c>
      <c r="E56" s="21">
        <f t="shared" si="3"/>
        <v>112500</v>
      </c>
      <c r="F56" s="35">
        <f t="shared" si="4"/>
        <v>120945.2378472127</v>
      </c>
      <c r="G56" s="21"/>
      <c r="H56" s="47">
        <f t="shared" si="5"/>
        <v>31070334.245587587</v>
      </c>
      <c r="I56" s="38">
        <f t="shared" si="6"/>
        <v>31290000</v>
      </c>
      <c r="J56" s="38"/>
      <c r="K56" s="22" t="s">
        <v>23</v>
      </c>
      <c r="Z56" s="2"/>
      <c r="AA56" s="2"/>
      <c r="AB56" s="2"/>
      <c r="AC56" s="2"/>
    </row>
    <row r="57" spans="1:29" ht="13.8" x14ac:dyDescent="0.3">
      <c r="B57" s="44" t="s">
        <v>36</v>
      </c>
      <c r="C57" s="37">
        <v>44881</v>
      </c>
      <c r="D57" s="22">
        <f t="shared" si="2"/>
        <v>16</v>
      </c>
      <c r="E57" s="21"/>
      <c r="F57" s="35">
        <f t="shared" si="4"/>
        <v>62608.154750082642</v>
      </c>
      <c r="G57" s="28">
        <f>D35</f>
        <v>-1350000</v>
      </c>
      <c r="H57" s="48">
        <f>H56+F57+G57</f>
        <v>29782942.40033767</v>
      </c>
      <c r="I57" s="38">
        <f t="shared" si="6"/>
        <v>29940000</v>
      </c>
      <c r="J57" s="38"/>
      <c r="K57" s="22"/>
      <c r="Z57" s="2"/>
      <c r="AA57" s="2"/>
      <c r="AB57" s="2"/>
      <c r="AC57" s="2"/>
    </row>
    <row r="58" spans="1:29" ht="13.8" x14ac:dyDescent="0.3">
      <c r="B58" s="46" t="s">
        <v>35</v>
      </c>
      <c r="C58" s="30">
        <v>44895</v>
      </c>
      <c r="D58" s="22">
        <f t="shared" si="2"/>
        <v>14</v>
      </c>
      <c r="E58" s="21">
        <f t="shared" ref="E58:E69" si="7">$D$19*$D$6/12</f>
        <v>112500</v>
      </c>
      <c r="F58" s="35">
        <f t="shared" si="4"/>
        <v>52505.642348043621</v>
      </c>
      <c r="G58" s="21"/>
      <c r="H58" s="47">
        <f t="shared" si="5"/>
        <v>29835448.042685714</v>
      </c>
      <c r="I58" s="38">
        <f t="shared" si="6"/>
        <v>30052500</v>
      </c>
      <c r="J58" s="38"/>
      <c r="K58" s="22" t="s">
        <v>23</v>
      </c>
      <c r="Z58" s="2"/>
      <c r="AA58" s="2"/>
      <c r="AB58" s="2"/>
      <c r="AC58" s="2"/>
    </row>
    <row r="59" spans="1:29" s="59" customFormat="1" ht="13.8" x14ac:dyDescent="0.3">
      <c r="B59" s="53" t="s">
        <v>35</v>
      </c>
      <c r="C59" s="54">
        <v>44926</v>
      </c>
      <c r="D59" s="55">
        <f t="shared" si="2"/>
        <v>31</v>
      </c>
      <c r="E59" s="56">
        <f t="shared" si="7"/>
        <v>112500</v>
      </c>
      <c r="F59" s="69">
        <f t="shared" si="4"/>
        <v>116592.1355959028</v>
      </c>
      <c r="G59" s="56"/>
      <c r="H59" s="57">
        <f t="shared" si="5"/>
        <v>29952040.178281616</v>
      </c>
      <c r="I59" s="38">
        <f t="shared" si="6"/>
        <v>30165000</v>
      </c>
      <c r="J59" s="38"/>
      <c r="K59" s="55" t="s">
        <v>23</v>
      </c>
    </row>
    <row r="60" spans="1:29" ht="13.8" x14ac:dyDescent="0.3">
      <c r="B60" s="46" t="s">
        <v>35</v>
      </c>
      <c r="C60" s="30">
        <v>44957</v>
      </c>
      <c r="D60" s="22">
        <f t="shared" si="2"/>
        <v>31</v>
      </c>
      <c r="E60" s="21">
        <f t="shared" si="7"/>
        <v>112500</v>
      </c>
      <c r="F60" s="35">
        <f t="shared" si="4"/>
        <v>117047.75892233476</v>
      </c>
      <c r="G60" s="21"/>
      <c r="H60" s="47">
        <f t="shared" si="5"/>
        <v>30069087.937203951</v>
      </c>
      <c r="I60" s="38">
        <f t="shared" si="6"/>
        <v>30277500</v>
      </c>
      <c r="J60" s="38"/>
      <c r="K60" s="22" t="s">
        <v>23</v>
      </c>
      <c r="Z60" s="2"/>
      <c r="AA60" s="2"/>
      <c r="AB60" s="2"/>
      <c r="AC60" s="2"/>
    </row>
    <row r="61" spans="1:29" ht="13.8" x14ac:dyDescent="0.3">
      <c r="B61" s="46" t="s">
        <v>35</v>
      </c>
      <c r="C61" s="30">
        <v>44985</v>
      </c>
      <c r="D61" s="22">
        <f t="shared" si="2"/>
        <v>28</v>
      </c>
      <c r="E61" s="21">
        <f t="shared" si="7"/>
        <v>112500</v>
      </c>
      <c r="F61" s="35">
        <f t="shared" si="4"/>
        <v>106113.65528745949</v>
      </c>
      <c r="G61" s="21"/>
      <c r="H61" s="47">
        <f t="shared" si="5"/>
        <v>30175201.592491411</v>
      </c>
      <c r="I61" s="38">
        <f t="shared" si="6"/>
        <v>30390000</v>
      </c>
      <c r="J61" s="38"/>
      <c r="K61" s="22" t="s">
        <v>23</v>
      </c>
      <c r="Z61" s="2"/>
      <c r="AA61" s="2"/>
      <c r="AB61" s="2"/>
      <c r="AC61" s="2"/>
    </row>
    <row r="62" spans="1:29" ht="13.8" x14ac:dyDescent="0.3">
      <c r="B62" s="46" t="s">
        <v>35</v>
      </c>
      <c r="C62" s="30">
        <v>45016</v>
      </c>
      <c r="D62" s="22">
        <f t="shared" si="2"/>
        <v>31</v>
      </c>
      <c r="E62" s="21">
        <f t="shared" si="7"/>
        <v>112500</v>
      </c>
      <c r="F62" s="35">
        <f t="shared" si="4"/>
        <v>117919.83786105737</v>
      </c>
      <c r="G62" s="21"/>
      <c r="H62" s="47">
        <f t="shared" si="5"/>
        <v>30293121.430352468</v>
      </c>
      <c r="I62" s="38">
        <f t="shared" si="6"/>
        <v>30502500</v>
      </c>
      <c r="J62" s="38"/>
      <c r="K62" s="22" t="s">
        <v>23</v>
      </c>
      <c r="Z62" s="2"/>
      <c r="AA62" s="2"/>
      <c r="AB62" s="2"/>
      <c r="AC62" s="2"/>
    </row>
    <row r="63" spans="1:29" ht="13.8" x14ac:dyDescent="0.3">
      <c r="B63" s="46" t="s">
        <v>35</v>
      </c>
      <c r="C63" s="30">
        <v>45046</v>
      </c>
      <c r="D63" s="22">
        <f t="shared" si="2"/>
        <v>30</v>
      </c>
      <c r="E63" s="21">
        <f t="shared" si="7"/>
        <v>112500</v>
      </c>
      <c r="F63" s="35">
        <f t="shared" si="4"/>
        <v>114554.70789180696</v>
      </c>
      <c r="G63" s="21"/>
      <c r="H63" s="47">
        <f t="shared" si="5"/>
        <v>30407676.138244275</v>
      </c>
      <c r="I63" s="38">
        <f t="shared" si="6"/>
        <v>30615000</v>
      </c>
      <c r="J63" s="38"/>
      <c r="K63" s="22" t="s">
        <v>23</v>
      </c>
      <c r="Z63" s="2"/>
      <c r="AA63" s="2"/>
      <c r="AB63" s="2"/>
      <c r="AC63" s="2"/>
    </row>
    <row r="64" spans="1:29" ht="13.8" x14ac:dyDescent="0.3">
      <c r="B64" s="46" t="s">
        <v>35</v>
      </c>
      <c r="C64" s="30">
        <v>45077</v>
      </c>
      <c r="D64" s="22">
        <f t="shared" si="2"/>
        <v>31</v>
      </c>
      <c r="E64" s="21">
        <f t="shared" si="7"/>
        <v>112500</v>
      </c>
      <c r="F64" s="35">
        <f t="shared" si="4"/>
        <v>118828.3110209778</v>
      </c>
      <c r="G64" s="21"/>
      <c r="H64" s="47">
        <f t="shared" si="5"/>
        <v>30526504.449265253</v>
      </c>
      <c r="I64" s="38">
        <f t="shared" si="6"/>
        <v>30727500</v>
      </c>
      <c r="J64" s="38"/>
      <c r="K64" s="22" t="s">
        <v>23</v>
      </c>
      <c r="Z64" s="2"/>
      <c r="AA64" s="2"/>
      <c r="AB64" s="2"/>
      <c r="AC64" s="2"/>
    </row>
    <row r="65" spans="1:29" ht="13.8" x14ac:dyDescent="0.3">
      <c r="A65" s="333"/>
      <c r="B65" s="326" t="s">
        <v>35</v>
      </c>
      <c r="C65" s="327">
        <v>45107</v>
      </c>
      <c r="D65" s="328">
        <f t="shared" si="2"/>
        <v>30</v>
      </c>
      <c r="E65" s="329">
        <f t="shared" si="7"/>
        <v>112500</v>
      </c>
      <c r="F65" s="330">
        <f t="shared" si="4"/>
        <v>115437.25555596501</v>
      </c>
      <c r="G65" s="329"/>
      <c r="H65" s="334">
        <f t="shared" si="5"/>
        <v>30641941.704821218</v>
      </c>
      <c r="I65" s="335">
        <f t="shared" si="6"/>
        <v>30840000</v>
      </c>
      <c r="J65" s="38"/>
      <c r="K65" s="22" t="s">
        <v>23</v>
      </c>
      <c r="Z65" s="2"/>
      <c r="AA65" s="2"/>
      <c r="AB65" s="2"/>
      <c r="AC65" s="2"/>
    </row>
    <row r="66" spans="1:29" ht="13.8" x14ac:dyDescent="0.3">
      <c r="B66" s="46" t="s">
        <v>35</v>
      </c>
      <c r="C66" s="30">
        <v>45138</v>
      </c>
      <c r="D66" s="22">
        <f t="shared" si="2"/>
        <v>31</v>
      </c>
      <c r="E66" s="21">
        <f t="shared" si="7"/>
        <v>112500</v>
      </c>
      <c r="F66" s="35">
        <f t="shared" si="4"/>
        <v>119743.78320241347</v>
      </c>
      <c r="G66" s="21"/>
      <c r="H66" s="47">
        <f t="shared" si="5"/>
        <v>30761685.488023631</v>
      </c>
      <c r="I66" s="38">
        <f t="shared" si="6"/>
        <v>30952500</v>
      </c>
      <c r="J66" s="38"/>
      <c r="K66" s="22" t="s">
        <v>23</v>
      </c>
      <c r="Z66" s="2"/>
      <c r="AA66" s="2"/>
      <c r="AB66" s="2"/>
      <c r="AC66" s="2"/>
    </row>
    <row r="67" spans="1:29" ht="13.8" x14ac:dyDescent="0.3">
      <c r="B67" s="46" t="s">
        <v>35</v>
      </c>
      <c r="C67" s="30">
        <v>45169</v>
      </c>
      <c r="D67" s="22">
        <f t="shared" si="2"/>
        <v>31</v>
      </c>
      <c r="E67" s="21">
        <f t="shared" si="7"/>
        <v>112500</v>
      </c>
      <c r="F67" s="35">
        <f t="shared" si="4"/>
        <v>120211.72266113758</v>
      </c>
      <c r="G67" s="21"/>
      <c r="H67" s="47">
        <f t="shared" si="5"/>
        <v>30881897.210684769</v>
      </c>
      <c r="I67" s="38">
        <f t="shared" si="6"/>
        <v>31065000</v>
      </c>
      <c r="J67" s="38"/>
      <c r="K67" s="22" t="s">
        <v>23</v>
      </c>
      <c r="Z67" s="2"/>
      <c r="AA67" s="2"/>
      <c r="AB67" s="2"/>
      <c r="AC67" s="2"/>
    </row>
    <row r="68" spans="1:29" ht="13.8" x14ac:dyDescent="0.3">
      <c r="B68" s="46" t="s">
        <v>35</v>
      </c>
      <c r="C68" s="30">
        <v>45199</v>
      </c>
      <c r="D68" s="22">
        <f t="shared" si="2"/>
        <v>30</v>
      </c>
      <c r="E68" s="21">
        <f t="shared" si="7"/>
        <v>112500</v>
      </c>
      <c r="F68" s="35">
        <f t="shared" si="4"/>
        <v>116781.18817330524</v>
      </c>
      <c r="G68" s="21"/>
      <c r="H68" s="47">
        <f t="shared" si="5"/>
        <v>30998678.398858074</v>
      </c>
      <c r="I68" s="38">
        <f t="shared" si="6"/>
        <v>31177500</v>
      </c>
      <c r="J68" s="38"/>
      <c r="K68" s="22" t="s">
        <v>23</v>
      </c>
      <c r="Z68" s="2"/>
      <c r="AA68" s="2"/>
      <c r="AB68" s="2"/>
      <c r="AC68" s="2"/>
    </row>
    <row r="69" spans="1:29" ht="13.8" x14ac:dyDescent="0.3">
      <c r="B69" s="46" t="s">
        <v>35</v>
      </c>
      <c r="C69" s="30">
        <v>45230</v>
      </c>
      <c r="D69" s="22">
        <f t="shared" si="2"/>
        <v>31</v>
      </c>
      <c r="E69" s="21">
        <f t="shared" si="7"/>
        <v>112500</v>
      </c>
      <c r="F69" s="35">
        <f t="shared" si="4"/>
        <v>121137.85286557674</v>
      </c>
      <c r="G69" s="21"/>
      <c r="H69" s="47">
        <f t="shared" si="5"/>
        <v>31119816.251723651</v>
      </c>
      <c r="I69" s="38">
        <f t="shared" si="6"/>
        <v>31290000</v>
      </c>
      <c r="J69" s="38"/>
      <c r="K69" s="22" t="s">
        <v>23</v>
      </c>
      <c r="Z69" s="2"/>
      <c r="AA69" s="2"/>
      <c r="AB69" s="2"/>
      <c r="AC69" s="2"/>
    </row>
    <row r="70" spans="1:29" ht="13.8" x14ac:dyDescent="0.3">
      <c r="B70" s="44" t="s">
        <v>36</v>
      </c>
      <c r="C70" s="37">
        <v>45246</v>
      </c>
      <c r="D70" s="22">
        <f t="shared" si="2"/>
        <v>16</v>
      </c>
      <c r="E70" s="21"/>
      <c r="F70" s="35">
        <f t="shared" si="4"/>
        <v>62707.86327182129</v>
      </c>
      <c r="G70" s="28">
        <f>D36</f>
        <v>-1350000</v>
      </c>
      <c r="H70" s="48">
        <f t="shared" ref="H70:H72" si="8">H69+F70+G70</f>
        <v>29832524.114995472</v>
      </c>
      <c r="I70" s="38">
        <f t="shared" si="6"/>
        <v>29940000</v>
      </c>
      <c r="J70" s="38"/>
      <c r="K70" s="22"/>
      <c r="Z70" s="2"/>
      <c r="AA70" s="2"/>
      <c r="AB70" s="2"/>
      <c r="AC70" s="2"/>
    </row>
    <row r="71" spans="1:29" ht="13.8" x14ac:dyDescent="0.3">
      <c r="B71" s="46" t="s">
        <v>35</v>
      </c>
      <c r="C71" s="30">
        <v>45260</v>
      </c>
      <c r="D71" s="22">
        <f t="shared" si="2"/>
        <v>14</v>
      </c>
      <c r="E71" s="21">
        <f t="shared" ref="E71:E108" si="9">$D$19*$D$6/12</f>
        <v>112500</v>
      </c>
      <c r="F71" s="35">
        <f t="shared" si="4"/>
        <v>52593.052105676383</v>
      </c>
      <c r="G71" s="21"/>
      <c r="H71" s="47">
        <f t="shared" si="8"/>
        <v>29885117.167101149</v>
      </c>
      <c r="I71" s="38">
        <f t="shared" si="6"/>
        <v>30052500</v>
      </c>
      <c r="J71" s="38"/>
      <c r="K71" s="22" t="s">
        <v>23</v>
      </c>
      <c r="Z71" s="2"/>
      <c r="AA71" s="2"/>
      <c r="AB71" s="2"/>
      <c r="AC71" s="2"/>
    </row>
    <row r="72" spans="1:29" s="59" customFormat="1" ht="13.8" x14ac:dyDescent="0.3">
      <c r="B72" s="53" t="s">
        <v>35</v>
      </c>
      <c r="C72" s="54">
        <v>45291</v>
      </c>
      <c r="D72" s="55">
        <f t="shared" si="2"/>
        <v>31</v>
      </c>
      <c r="E72" s="56">
        <f t="shared" si="9"/>
        <v>112500</v>
      </c>
      <c r="F72" s="69">
        <f t="shared" si="4"/>
        <v>116786.23455096036</v>
      </c>
      <c r="G72" s="56"/>
      <c r="H72" s="57">
        <f t="shared" si="8"/>
        <v>30001903.401652109</v>
      </c>
      <c r="I72" s="456">
        <f t="shared" si="6"/>
        <v>30165000</v>
      </c>
      <c r="J72" s="38"/>
      <c r="K72" s="55" t="s">
        <v>23</v>
      </c>
      <c r="M72" s="59">
        <f>SUM(E60:E72)*24.725</f>
        <v>33378750.000000004</v>
      </c>
    </row>
    <row r="73" spans="1:29" ht="13.8" x14ac:dyDescent="0.3">
      <c r="B73" s="46" t="s">
        <v>35</v>
      </c>
      <c r="C73" s="30">
        <v>45322</v>
      </c>
      <c r="D73" s="22">
        <f t="shared" si="2"/>
        <v>31</v>
      </c>
      <c r="E73" s="21">
        <f t="shared" si="9"/>
        <v>112500</v>
      </c>
      <c r="F73" s="35">
        <f t="shared" si="4"/>
        <v>117242.61638491228</v>
      </c>
      <c r="G73" s="21"/>
      <c r="H73" s="47">
        <f t="shared" si="5"/>
        <v>30119146.018037021</v>
      </c>
      <c r="I73" s="38">
        <f t="shared" si="6"/>
        <v>30277500</v>
      </c>
      <c r="J73" s="38"/>
      <c r="K73" s="22" t="s">
        <v>23</v>
      </c>
      <c r="Z73" s="2"/>
      <c r="AA73" s="2"/>
      <c r="AB73" s="2"/>
      <c r="AC73" s="2"/>
    </row>
    <row r="74" spans="1:29" ht="13.8" x14ac:dyDescent="0.3">
      <c r="B74" s="46" t="s">
        <v>35</v>
      </c>
      <c r="C74" s="30">
        <v>45351</v>
      </c>
      <c r="D74" s="22">
        <f t="shared" si="2"/>
        <v>29</v>
      </c>
      <c r="E74" s="21">
        <f t="shared" si="9"/>
        <v>112500</v>
      </c>
      <c r="F74" s="35">
        <f t="shared" si="4"/>
        <v>110093.32203749195</v>
      </c>
      <c r="G74" s="21"/>
      <c r="H74" s="47">
        <f t="shared" si="5"/>
        <v>30229239.340074513</v>
      </c>
      <c r="I74" s="38">
        <f t="shared" si="6"/>
        <v>30390000</v>
      </c>
      <c r="J74" s="38"/>
      <c r="K74" s="22" t="s">
        <v>23</v>
      </c>
      <c r="Z74" s="2"/>
      <c r="AA74" s="2"/>
      <c r="AB74" s="2"/>
      <c r="AC74" s="2"/>
    </row>
    <row r="75" spans="1:29" ht="13.8" x14ac:dyDescent="0.3">
      <c r="B75" s="46" t="s">
        <v>35</v>
      </c>
      <c r="C75" s="30">
        <v>45382</v>
      </c>
      <c r="D75" s="22">
        <f t="shared" si="2"/>
        <v>31</v>
      </c>
      <c r="E75" s="21">
        <f t="shared" si="9"/>
        <v>112500</v>
      </c>
      <c r="F75" s="35">
        <f t="shared" si="4"/>
        <v>118131.00869330019</v>
      </c>
      <c r="G75" s="21"/>
      <c r="H75" s="47">
        <f t="shared" si="5"/>
        <v>30347370.348767813</v>
      </c>
      <c r="I75" s="38">
        <f t="shared" si="6"/>
        <v>30502500</v>
      </c>
      <c r="J75" s="38"/>
      <c r="K75" s="22" t="s">
        <v>23</v>
      </c>
      <c r="Z75" s="2"/>
      <c r="AA75" s="2"/>
      <c r="AB75" s="2"/>
      <c r="AC75" s="2"/>
    </row>
    <row r="76" spans="1:29" ht="13.8" x14ac:dyDescent="0.3">
      <c r="B76" s="46" t="s">
        <v>35</v>
      </c>
      <c r="C76" s="30">
        <v>45412</v>
      </c>
      <c r="D76" s="22">
        <f t="shared" si="2"/>
        <v>30</v>
      </c>
      <c r="E76" s="21">
        <f t="shared" si="9"/>
        <v>112500</v>
      </c>
      <c r="F76" s="35">
        <f t="shared" si="4"/>
        <v>114759.85244968161</v>
      </c>
      <c r="G76" s="21"/>
      <c r="H76" s="47">
        <f t="shared" si="5"/>
        <v>30462130.201217495</v>
      </c>
      <c r="I76" s="38">
        <f t="shared" si="6"/>
        <v>30615000</v>
      </c>
      <c r="J76" s="38"/>
      <c r="K76" s="22" t="s">
        <v>23</v>
      </c>
      <c r="Z76" s="2"/>
      <c r="AA76" s="2"/>
      <c r="AB76" s="2"/>
      <c r="AC76" s="2"/>
    </row>
    <row r="77" spans="1:29" ht="13.8" x14ac:dyDescent="0.3">
      <c r="B77" s="46" t="s">
        <v>35</v>
      </c>
      <c r="C77" s="30">
        <v>45443</v>
      </c>
      <c r="D77" s="22">
        <f t="shared" si="2"/>
        <v>31</v>
      </c>
      <c r="E77" s="21">
        <f t="shared" si="9"/>
        <v>112500</v>
      </c>
      <c r="F77" s="35">
        <f t="shared" si="4"/>
        <v>119041.10874685273</v>
      </c>
      <c r="G77" s="21"/>
      <c r="H77" s="47">
        <f t="shared" si="5"/>
        <v>30581171.309964348</v>
      </c>
      <c r="I77" s="38">
        <f t="shared" si="6"/>
        <v>30727500</v>
      </c>
      <c r="J77" s="38"/>
      <c r="K77" s="22" t="s">
        <v>23</v>
      </c>
      <c r="Z77" s="2"/>
      <c r="AA77" s="2"/>
      <c r="AB77" s="2"/>
      <c r="AC77" s="2"/>
    </row>
    <row r="78" spans="1:29" ht="13.8" x14ac:dyDescent="0.3">
      <c r="A78" s="333"/>
      <c r="B78" s="326" t="s">
        <v>35</v>
      </c>
      <c r="C78" s="327">
        <v>45473</v>
      </c>
      <c r="D78" s="328">
        <f t="shared" si="2"/>
        <v>30</v>
      </c>
      <c r="E78" s="329">
        <f t="shared" si="9"/>
        <v>112500</v>
      </c>
      <c r="F78" s="330">
        <f t="shared" si="4"/>
        <v>115643.98058009893</v>
      </c>
      <c r="G78" s="329"/>
      <c r="H78" s="334">
        <f t="shared" si="5"/>
        <v>30696815.290544447</v>
      </c>
      <c r="I78" s="335">
        <f t="shared" si="6"/>
        <v>30840000</v>
      </c>
      <c r="J78" s="38"/>
      <c r="K78" s="22" t="s">
        <v>23</v>
      </c>
      <c r="Z78" s="2"/>
      <c r="AA78" s="2"/>
      <c r="AB78" s="2"/>
      <c r="AC78" s="2"/>
    </row>
    <row r="79" spans="1:29" ht="13.8" x14ac:dyDescent="0.3">
      <c r="B79" s="46" t="s">
        <v>35</v>
      </c>
      <c r="C79" s="30">
        <v>45504</v>
      </c>
      <c r="D79" s="22">
        <f t="shared" si="2"/>
        <v>31</v>
      </c>
      <c r="E79" s="21">
        <f t="shared" si="9"/>
        <v>112500</v>
      </c>
      <c r="F79" s="35">
        <f t="shared" si="4"/>
        <v>119958.22035576776</v>
      </c>
      <c r="G79" s="21"/>
      <c r="H79" s="47">
        <f t="shared" si="5"/>
        <v>30816773.510900214</v>
      </c>
      <c r="I79" s="38">
        <f t="shared" si="6"/>
        <v>30952500</v>
      </c>
      <c r="J79" s="38"/>
      <c r="K79" s="22" t="s">
        <v>23</v>
      </c>
      <c r="Z79" s="2"/>
      <c r="AA79" s="2"/>
      <c r="AB79" s="2"/>
      <c r="AC79" s="2"/>
    </row>
    <row r="80" spans="1:29" ht="13.8" x14ac:dyDescent="0.3">
      <c r="B80" s="46" t="s">
        <v>35</v>
      </c>
      <c r="C80" s="30">
        <v>45535</v>
      </c>
      <c r="D80" s="22">
        <f t="shared" si="2"/>
        <v>31</v>
      </c>
      <c r="E80" s="21">
        <f t="shared" si="9"/>
        <v>112500</v>
      </c>
      <c r="F80" s="35">
        <f t="shared" si="4"/>
        <v>120426.99780042097</v>
      </c>
      <c r="G80" s="21"/>
      <c r="H80" s="47">
        <f t="shared" si="5"/>
        <v>30937200.508700635</v>
      </c>
      <c r="I80" s="38">
        <f t="shared" si="6"/>
        <v>31065000</v>
      </c>
      <c r="J80" s="38"/>
      <c r="K80" s="22" t="s">
        <v>23</v>
      </c>
      <c r="Z80" s="2"/>
      <c r="AA80" s="2"/>
      <c r="AB80" s="2"/>
      <c r="AC80" s="2"/>
    </row>
    <row r="81" spans="2:11" s="2" customFormat="1" ht="13.8" x14ac:dyDescent="0.3">
      <c r="B81" s="46" t="s">
        <v>35</v>
      </c>
      <c r="C81" s="30">
        <v>45565</v>
      </c>
      <c r="D81" s="22">
        <f t="shared" si="2"/>
        <v>30</v>
      </c>
      <c r="E81" s="21">
        <f t="shared" si="9"/>
        <v>112500</v>
      </c>
      <c r="F81" s="35">
        <f t="shared" si="4"/>
        <v>116990.31991181523</v>
      </c>
      <c r="G81" s="21"/>
      <c r="H81" s="47">
        <f t="shared" si="5"/>
        <v>31054190.828612451</v>
      </c>
      <c r="I81" s="38">
        <f t="shared" si="6"/>
        <v>31177500</v>
      </c>
      <c r="J81" s="38"/>
      <c r="K81" s="22" t="s">
        <v>23</v>
      </c>
    </row>
    <row r="82" spans="2:11" s="2" customFormat="1" ht="13.8" x14ac:dyDescent="0.3">
      <c r="B82" s="46" t="s">
        <v>35</v>
      </c>
      <c r="C82" s="30">
        <v>45596</v>
      </c>
      <c r="D82" s="22">
        <f t="shared" si="2"/>
        <v>31</v>
      </c>
      <c r="E82" s="21">
        <f t="shared" si="9"/>
        <v>112500</v>
      </c>
      <c r="F82" s="35">
        <f t="shared" si="4"/>
        <v>121354.78651872277</v>
      </c>
      <c r="G82" s="21"/>
      <c r="H82" s="47">
        <f t="shared" si="5"/>
        <v>31175545.615131173</v>
      </c>
      <c r="I82" s="38">
        <f t="shared" si="6"/>
        <v>31290000</v>
      </c>
      <c r="J82" s="38"/>
      <c r="K82" s="22" t="s">
        <v>23</v>
      </c>
    </row>
    <row r="83" spans="2:11" s="2" customFormat="1" ht="13.8" x14ac:dyDescent="0.3">
      <c r="B83" s="44" t="s">
        <v>36</v>
      </c>
      <c r="C83" s="37">
        <v>45612</v>
      </c>
      <c r="D83" s="22">
        <f t="shared" ref="D83:D95" si="10">C83-C82</f>
        <v>16</v>
      </c>
      <c r="E83" s="21"/>
      <c r="F83" s="35">
        <f t="shared" si="4"/>
        <v>62820.160506241024</v>
      </c>
      <c r="G83" s="28">
        <f>D38</f>
        <v>-1350000</v>
      </c>
      <c r="H83" s="48">
        <f t="shared" si="5"/>
        <v>29888365.775637414</v>
      </c>
      <c r="I83" s="38">
        <f t="shared" si="6"/>
        <v>29940000</v>
      </c>
      <c r="J83" s="38"/>
      <c r="K83" s="22" t="s">
        <v>23</v>
      </c>
    </row>
    <row r="84" spans="2:11" s="2" customFormat="1" ht="13.8" x14ac:dyDescent="0.3">
      <c r="B84" s="46" t="s">
        <v>35</v>
      </c>
      <c r="C84" s="30">
        <v>45626</v>
      </c>
      <c r="D84" s="22">
        <f t="shared" si="10"/>
        <v>14</v>
      </c>
      <c r="E84" s="21">
        <f t="shared" si="9"/>
        <v>112500</v>
      </c>
      <c r="F84" s="35">
        <f t="shared" si="4"/>
        <v>52691.497793894261</v>
      </c>
      <c r="G84" s="21"/>
      <c r="H84" s="47">
        <f t="shared" si="5"/>
        <v>29941057.273431309</v>
      </c>
      <c r="I84" s="38">
        <f t="shared" si="6"/>
        <v>30052500</v>
      </c>
      <c r="J84" s="38"/>
      <c r="K84" s="22" t="s">
        <v>23</v>
      </c>
    </row>
    <row r="85" spans="2:11" s="2" customFormat="1" ht="13.8" x14ac:dyDescent="0.3">
      <c r="B85" s="46" t="s">
        <v>35</v>
      </c>
      <c r="C85" s="30">
        <v>45657</v>
      </c>
      <c r="D85" s="22">
        <f t="shared" si="10"/>
        <v>31</v>
      </c>
      <c r="E85" s="21">
        <f t="shared" si="9"/>
        <v>112500</v>
      </c>
      <c r="F85" s="35">
        <f t="shared" si="4"/>
        <v>117004.83949542791</v>
      </c>
      <c r="G85" s="21"/>
      <c r="H85" s="47">
        <f t="shared" si="5"/>
        <v>30058062.112926736</v>
      </c>
      <c r="I85" s="38">
        <f t="shared" si="6"/>
        <v>30165000</v>
      </c>
      <c r="J85" s="38"/>
      <c r="K85" s="22" t="s">
        <v>23</v>
      </c>
    </row>
    <row r="86" spans="2:11" s="2" customFormat="1" ht="13.8" x14ac:dyDescent="0.3">
      <c r="B86" s="46" t="s">
        <v>35</v>
      </c>
      <c r="C86" s="30">
        <v>45688</v>
      </c>
      <c r="D86" s="22">
        <f t="shared" si="10"/>
        <v>31</v>
      </c>
      <c r="E86" s="21">
        <f t="shared" si="9"/>
        <v>112500</v>
      </c>
      <c r="F86" s="35">
        <f t="shared" si="4"/>
        <v>117462.07560236752</v>
      </c>
      <c r="G86" s="21"/>
      <c r="H86" s="47">
        <f t="shared" ref="H86:H109" si="11">H85+F86+G86</f>
        <v>30175524.188529104</v>
      </c>
      <c r="I86" s="38">
        <f t="shared" si="6"/>
        <v>30277500</v>
      </c>
      <c r="J86" s="38"/>
      <c r="K86" s="22" t="s">
        <v>23</v>
      </c>
    </row>
    <row r="87" spans="2:11" s="2" customFormat="1" ht="13.8" x14ac:dyDescent="0.3">
      <c r="B87" s="46" t="s">
        <v>35</v>
      </c>
      <c r="C87" s="30">
        <v>45716</v>
      </c>
      <c r="D87" s="22">
        <f t="shared" si="10"/>
        <v>28</v>
      </c>
      <c r="E87" s="21">
        <f t="shared" si="9"/>
        <v>112500</v>
      </c>
      <c r="F87" s="35">
        <f t="shared" si="4"/>
        <v>106489.26826603711</v>
      </c>
      <c r="G87" s="21"/>
      <c r="H87" s="47">
        <f t="shared" si="11"/>
        <v>30282013.456795141</v>
      </c>
      <c r="I87" s="38">
        <f t="shared" si="6"/>
        <v>30390000</v>
      </c>
      <c r="J87" s="38"/>
      <c r="K87" s="22" t="s">
        <v>23</v>
      </c>
    </row>
    <row r="88" spans="2:11" s="2" customFormat="1" ht="13.8" x14ac:dyDescent="0.3">
      <c r="B88" s="46" t="s">
        <v>35</v>
      </c>
      <c r="C88" s="30">
        <v>45747</v>
      </c>
      <c r="D88" s="22">
        <f t="shared" si="10"/>
        <v>31</v>
      </c>
      <c r="E88" s="21">
        <f t="shared" si="9"/>
        <v>112500</v>
      </c>
      <c r="F88" s="35">
        <f t="shared" si="4"/>
        <v>118337.2414592281</v>
      </c>
      <c r="G88" s="21"/>
      <c r="H88" s="47">
        <f t="shared" si="11"/>
        <v>30400350.698254369</v>
      </c>
      <c r="I88" s="38">
        <f t="shared" si="6"/>
        <v>30502500</v>
      </c>
      <c r="J88" s="38"/>
      <c r="K88" s="22" t="s">
        <v>23</v>
      </c>
    </row>
    <row r="89" spans="2:11" s="2" customFormat="1" ht="13.8" x14ac:dyDescent="0.3">
      <c r="B89" s="46" t="s">
        <v>35</v>
      </c>
      <c r="C89" s="30">
        <v>45777</v>
      </c>
      <c r="D89" s="22">
        <f t="shared" si="10"/>
        <v>30</v>
      </c>
      <c r="E89" s="21">
        <f t="shared" si="9"/>
        <v>112500</v>
      </c>
      <c r="F89" s="35">
        <f t="shared" si="4"/>
        <v>114960.19986100495</v>
      </c>
      <c r="G89" s="21"/>
      <c r="H89" s="47">
        <f t="shared" si="11"/>
        <v>30515310.898115374</v>
      </c>
      <c r="I89" s="38">
        <f t="shared" si="6"/>
        <v>30615000</v>
      </c>
      <c r="J89" s="38"/>
      <c r="K89" s="22" t="s">
        <v>23</v>
      </c>
    </row>
    <row r="90" spans="2:11" s="2" customFormat="1" ht="13.8" x14ac:dyDescent="0.3">
      <c r="B90" s="46" t="s">
        <v>35</v>
      </c>
      <c r="C90" s="30">
        <v>45808</v>
      </c>
      <c r="D90" s="22">
        <f t="shared" si="10"/>
        <v>31</v>
      </c>
      <c r="E90" s="21">
        <f t="shared" si="9"/>
        <v>112500</v>
      </c>
      <c r="F90" s="35">
        <f t="shared" si="4"/>
        <v>119248.93036276847</v>
      </c>
      <c r="G90" s="21"/>
      <c r="H90" s="47">
        <f t="shared" si="11"/>
        <v>30634559.828478143</v>
      </c>
      <c r="I90" s="38">
        <f t="shared" si="6"/>
        <v>30727500</v>
      </c>
      <c r="J90" s="38"/>
      <c r="K90" s="22" t="s">
        <v>23</v>
      </c>
    </row>
    <row r="91" spans="2:11" s="2" customFormat="1" ht="13.8" x14ac:dyDescent="0.3">
      <c r="B91" s="46" t="s">
        <v>35</v>
      </c>
      <c r="C91" s="30">
        <v>45838</v>
      </c>
      <c r="D91" s="22">
        <f t="shared" si="10"/>
        <v>30</v>
      </c>
      <c r="E91" s="21">
        <f t="shared" si="9"/>
        <v>112500</v>
      </c>
      <c r="F91" s="35">
        <f t="shared" si="4"/>
        <v>115845.87149969861</v>
      </c>
      <c r="G91" s="21"/>
      <c r="H91" s="47">
        <f t="shared" si="11"/>
        <v>30750405.699977841</v>
      </c>
      <c r="I91" s="38">
        <f t="shared" si="6"/>
        <v>30840000</v>
      </c>
      <c r="J91" s="38"/>
      <c r="K91" s="22" t="s">
        <v>23</v>
      </c>
    </row>
    <row r="92" spans="2:11" s="2" customFormat="1" ht="13.8" x14ac:dyDescent="0.3">
      <c r="B92" s="46" t="s">
        <v>35</v>
      </c>
      <c r="C92" s="30">
        <v>45869</v>
      </c>
      <c r="D92" s="22">
        <f t="shared" si="10"/>
        <v>31</v>
      </c>
      <c r="E92" s="21">
        <f t="shared" si="9"/>
        <v>112500</v>
      </c>
      <c r="F92" s="35">
        <f t="shared" si="4"/>
        <v>120167.64306242019</v>
      </c>
      <c r="G92" s="21"/>
      <c r="H92" s="47">
        <f t="shared" si="11"/>
        <v>30870573.343040261</v>
      </c>
      <c r="I92" s="38">
        <f t="shared" si="6"/>
        <v>30952500</v>
      </c>
      <c r="J92" s="38"/>
      <c r="K92" s="22" t="s">
        <v>23</v>
      </c>
    </row>
    <row r="93" spans="2:11" s="2" customFormat="1" ht="13.8" x14ac:dyDescent="0.3">
      <c r="B93" s="46" t="s">
        <v>35</v>
      </c>
      <c r="C93" s="30">
        <v>45900</v>
      </c>
      <c r="D93" s="22">
        <f t="shared" si="10"/>
        <v>31</v>
      </c>
      <c r="E93" s="21">
        <f t="shared" si="9"/>
        <v>112500</v>
      </c>
      <c r="F93" s="35">
        <f t="shared" si="4"/>
        <v>120637.23889735341</v>
      </c>
      <c r="G93" s="21"/>
      <c r="H93" s="47">
        <f t="shared" si="11"/>
        <v>30991210.581937615</v>
      </c>
      <c r="I93" s="38">
        <f t="shared" si="6"/>
        <v>31065000</v>
      </c>
      <c r="J93" s="38"/>
      <c r="K93" s="22" t="s">
        <v>23</v>
      </c>
    </row>
    <row r="94" spans="2:11" s="2" customFormat="1" ht="13.8" x14ac:dyDescent="0.3">
      <c r="B94" s="46" t="s">
        <v>35</v>
      </c>
      <c r="C94" s="30">
        <v>45930</v>
      </c>
      <c r="D94" s="22">
        <f t="shared" si="10"/>
        <v>30</v>
      </c>
      <c r="E94" s="21">
        <f t="shared" si="9"/>
        <v>112500</v>
      </c>
      <c r="F94" s="35">
        <f t="shared" si="4"/>
        <v>117194.56126664206</v>
      </c>
      <c r="G94" s="21"/>
      <c r="H94" s="47">
        <f t="shared" si="11"/>
        <v>31108405.143204257</v>
      </c>
      <c r="I94" s="38">
        <f t="shared" si="6"/>
        <v>31177500</v>
      </c>
      <c r="J94" s="38"/>
      <c r="K94" s="22" t="s">
        <v>23</v>
      </c>
    </row>
    <row r="95" spans="2:11" s="2" customFormat="1" ht="13.8" x14ac:dyDescent="0.3">
      <c r="B95" s="46" t="s">
        <v>35</v>
      </c>
      <c r="C95" s="30">
        <v>45961</v>
      </c>
      <c r="D95" s="22">
        <f t="shared" si="10"/>
        <v>31</v>
      </c>
      <c r="E95" s="21">
        <f t="shared" si="9"/>
        <v>112500</v>
      </c>
      <c r="F95" s="35">
        <f t="shared" si="4"/>
        <v>121566.64734645933</v>
      </c>
      <c r="G95" s="21"/>
      <c r="H95" s="47">
        <f t="shared" si="11"/>
        <v>31229971.790550716</v>
      </c>
      <c r="I95" s="38">
        <f t="shared" si="6"/>
        <v>31290000</v>
      </c>
      <c r="J95" s="38"/>
      <c r="K95" s="22" t="s">
        <v>23</v>
      </c>
    </row>
    <row r="96" spans="2:11" s="2" customFormat="1" ht="13.8" x14ac:dyDescent="0.3">
      <c r="B96" s="44" t="s">
        <v>36</v>
      </c>
      <c r="C96" s="37">
        <v>45977</v>
      </c>
      <c r="D96" s="22">
        <f t="shared" ref="D96:D106" si="12">C96-C95</f>
        <v>16</v>
      </c>
      <c r="E96" s="21"/>
      <c r="F96" s="35">
        <f t="shared" si="4"/>
        <v>62929.831756837666</v>
      </c>
      <c r="G96" s="28">
        <f>D39</f>
        <v>-1350000</v>
      </c>
      <c r="H96" s="47">
        <f t="shared" si="11"/>
        <v>29942901.622307554</v>
      </c>
      <c r="I96" s="38">
        <f t="shared" si="6"/>
        <v>29940000</v>
      </c>
      <c r="J96" s="38"/>
      <c r="K96" s="22" t="s">
        <v>23</v>
      </c>
    </row>
    <row r="97" spans="2:11" s="2" customFormat="1" ht="13.8" x14ac:dyDescent="0.3">
      <c r="B97" s="46" t="s">
        <v>35</v>
      </c>
      <c r="C97" s="30">
        <v>45991</v>
      </c>
      <c r="D97" s="22">
        <f t="shared" si="12"/>
        <v>14</v>
      </c>
      <c r="E97" s="21">
        <f t="shared" si="9"/>
        <v>112500</v>
      </c>
      <c r="F97" s="35">
        <f t="shared" si="4"/>
        <v>52787.641405966133</v>
      </c>
      <c r="G97" s="21"/>
      <c r="H97" s="47">
        <f t="shared" si="11"/>
        <v>29995689.26371352</v>
      </c>
      <c r="I97" s="38">
        <f t="shared" si="6"/>
        <v>30052500</v>
      </c>
      <c r="J97" s="38"/>
      <c r="K97" s="22" t="s">
        <v>23</v>
      </c>
    </row>
    <row r="98" spans="2:11" s="2" customFormat="1" ht="13.8" x14ac:dyDescent="0.3">
      <c r="B98" s="46" t="s">
        <v>35</v>
      </c>
      <c r="C98" s="30">
        <v>46022</v>
      </c>
      <c r="D98" s="22">
        <f t="shared" si="12"/>
        <v>31</v>
      </c>
      <c r="E98" s="21">
        <f t="shared" si="9"/>
        <v>112500</v>
      </c>
      <c r="F98" s="35">
        <f t="shared" si="4"/>
        <v>117218.33253262565</v>
      </c>
      <c r="G98" s="21"/>
      <c r="H98" s="47">
        <f t="shared" si="11"/>
        <v>30112907.596246146</v>
      </c>
      <c r="I98" s="38">
        <f t="shared" si="6"/>
        <v>30165000</v>
      </c>
      <c r="J98" s="38"/>
      <c r="K98" s="22" t="s">
        <v>23</v>
      </c>
    </row>
    <row r="99" spans="2:11" s="2" customFormat="1" ht="13.8" x14ac:dyDescent="0.3">
      <c r="B99" s="46" t="s">
        <v>35</v>
      </c>
      <c r="C99" s="30">
        <v>46053</v>
      </c>
      <c r="D99" s="22">
        <f t="shared" si="12"/>
        <v>31</v>
      </c>
      <c r="E99" s="21">
        <f t="shared" si="9"/>
        <v>112500</v>
      </c>
      <c r="F99" s="35">
        <f t="shared" si="4"/>
        <v>117676.40293604136</v>
      </c>
      <c r="G99" s="21"/>
      <c r="H99" s="47">
        <f t="shared" si="11"/>
        <v>30230583.999182187</v>
      </c>
      <c r="I99" s="38">
        <f t="shared" si="6"/>
        <v>30277500</v>
      </c>
      <c r="J99" s="38"/>
      <c r="K99" s="22" t="s">
        <v>23</v>
      </c>
    </row>
    <row r="100" spans="2:11" s="2" customFormat="1" ht="13.8" x14ac:dyDescent="0.3">
      <c r="B100" s="46" t="s">
        <v>35</v>
      </c>
      <c r="C100" s="30">
        <v>46081</v>
      </c>
      <c r="D100" s="22">
        <f t="shared" si="12"/>
        <v>28</v>
      </c>
      <c r="E100" s="21">
        <f t="shared" si="9"/>
        <v>112500</v>
      </c>
      <c r="F100" s="35">
        <f t="shared" si="4"/>
        <v>106683.57405209914</v>
      </c>
      <c r="G100" s="21"/>
      <c r="H100" s="47">
        <f t="shared" si="11"/>
        <v>30337267.573234286</v>
      </c>
      <c r="I100" s="38">
        <f t="shared" si="6"/>
        <v>30390000</v>
      </c>
      <c r="J100" s="38"/>
      <c r="K100" s="22" t="s">
        <v>23</v>
      </c>
    </row>
    <row r="101" spans="2:11" s="2" customFormat="1" ht="13.8" x14ac:dyDescent="0.3">
      <c r="B101" s="46" t="s">
        <v>35</v>
      </c>
      <c r="C101" s="30">
        <v>46112</v>
      </c>
      <c r="D101" s="22">
        <f t="shared" si="12"/>
        <v>31</v>
      </c>
      <c r="E101" s="21">
        <f t="shared" si="9"/>
        <v>112500</v>
      </c>
      <c r="F101" s="35">
        <f t="shared" si="4"/>
        <v>118553.16566545889</v>
      </c>
      <c r="G101" s="21"/>
      <c r="H101" s="47">
        <f t="shared" si="11"/>
        <v>30455820.738899745</v>
      </c>
      <c r="I101" s="38">
        <f t="shared" si="6"/>
        <v>30502500</v>
      </c>
      <c r="J101" s="38"/>
      <c r="K101" s="22" t="s">
        <v>23</v>
      </c>
    </row>
    <row r="102" spans="2:11" s="2" customFormat="1" ht="13.8" x14ac:dyDescent="0.3">
      <c r="B102" s="46" t="s">
        <v>35</v>
      </c>
      <c r="C102" s="30">
        <v>46142</v>
      </c>
      <c r="D102" s="22">
        <f t="shared" si="12"/>
        <v>30</v>
      </c>
      <c r="E102" s="21">
        <f t="shared" si="9"/>
        <v>112500</v>
      </c>
      <c r="F102" s="35">
        <f t="shared" si="4"/>
        <v>115169.96214375645</v>
      </c>
      <c r="G102" s="21"/>
      <c r="H102" s="47">
        <f t="shared" si="11"/>
        <v>30570990.701043501</v>
      </c>
      <c r="I102" s="38">
        <f t="shared" si="6"/>
        <v>30615000</v>
      </c>
      <c r="J102" s="38"/>
      <c r="K102" s="22" t="s">
        <v>23</v>
      </c>
    </row>
    <row r="103" spans="2:11" s="2" customFormat="1" ht="13.8" x14ac:dyDescent="0.3">
      <c r="B103" s="46" t="s">
        <v>35</v>
      </c>
      <c r="C103" s="30">
        <v>46173</v>
      </c>
      <c r="D103" s="22">
        <f t="shared" si="12"/>
        <v>31</v>
      </c>
      <c r="E103" s="21">
        <f t="shared" si="9"/>
        <v>112500</v>
      </c>
      <c r="F103" s="35">
        <f t="shared" si="4"/>
        <v>119466.51808337495</v>
      </c>
      <c r="G103" s="21"/>
      <c r="H103" s="47">
        <f t="shared" si="11"/>
        <v>30690457.219126876</v>
      </c>
      <c r="I103" s="38">
        <f t="shared" si="6"/>
        <v>30727500</v>
      </c>
      <c r="J103" s="38"/>
      <c r="K103" s="22" t="s">
        <v>23</v>
      </c>
    </row>
    <row r="104" spans="2:11" s="2" customFormat="1" ht="13.8" x14ac:dyDescent="0.3">
      <c r="B104" s="46" t="s">
        <v>35</v>
      </c>
      <c r="C104" s="30">
        <v>46203</v>
      </c>
      <c r="D104" s="22">
        <f t="shared" si="12"/>
        <v>30</v>
      </c>
      <c r="E104" s="21">
        <f t="shared" si="9"/>
        <v>112500</v>
      </c>
      <c r="F104" s="35">
        <f t="shared" si="4"/>
        <v>116057.24982438982</v>
      </c>
      <c r="G104" s="21"/>
      <c r="H104" s="47">
        <f t="shared" si="11"/>
        <v>30806514.468951266</v>
      </c>
      <c r="I104" s="38">
        <f t="shared" si="6"/>
        <v>30840000</v>
      </c>
      <c r="J104" s="38"/>
      <c r="K104" s="22" t="s">
        <v>23</v>
      </c>
    </row>
    <row r="105" spans="2:11" s="2" customFormat="1" ht="13.8" x14ac:dyDescent="0.3">
      <c r="B105" s="46" t="s">
        <v>35</v>
      </c>
      <c r="C105" s="30">
        <v>46234</v>
      </c>
      <c r="D105" s="22">
        <f t="shared" si="12"/>
        <v>31</v>
      </c>
      <c r="E105" s="21">
        <f t="shared" si="9"/>
        <v>112500</v>
      </c>
      <c r="F105" s="35">
        <f t="shared" si="4"/>
        <v>120386.90711338818</v>
      </c>
      <c r="G105" s="21"/>
      <c r="H105" s="47">
        <f t="shared" si="11"/>
        <v>30926901.376064654</v>
      </c>
      <c r="I105" s="38">
        <f t="shared" si="6"/>
        <v>30952500</v>
      </c>
      <c r="J105" s="38"/>
      <c r="K105" s="22" t="s">
        <v>23</v>
      </c>
    </row>
    <row r="106" spans="2:11" s="2" customFormat="1" ht="13.8" x14ac:dyDescent="0.3">
      <c r="B106" s="46" t="s">
        <v>35</v>
      </c>
      <c r="C106" s="30">
        <v>46265</v>
      </c>
      <c r="D106" s="22">
        <f t="shared" si="12"/>
        <v>31</v>
      </c>
      <c r="E106" s="21">
        <f t="shared" si="9"/>
        <v>112500</v>
      </c>
      <c r="F106" s="35">
        <f t="shared" si="4"/>
        <v>120857.35979698971</v>
      </c>
      <c r="G106" s="21"/>
      <c r="H106" s="47">
        <f t="shared" si="11"/>
        <v>31047758.735861644</v>
      </c>
      <c r="I106" s="38">
        <f t="shared" si="6"/>
        <v>31065000</v>
      </c>
      <c r="J106" s="38"/>
      <c r="K106" s="22" t="s">
        <v>23</v>
      </c>
    </row>
    <row r="107" spans="2:11" s="2" customFormat="1" ht="13.8" x14ac:dyDescent="0.3">
      <c r="B107" s="46" t="s">
        <v>35</v>
      </c>
      <c r="C107" s="30">
        <v>46295</v>
      </c>
      <c r="D107" s="22">
        <f t="shared" ref="D107:D109" si="13">C107-C106</f>
        <v>30</v>
      </c>
      <c r="E107" s="21">
        <f t="shared" si="9"/>
        <v>112500</v>
      </c>
      <c r="F107" s="35">
        <f t="shared" si="4"/>
        <v>117408.40047992766</v>
      </c>
      <c r="G107" s="21"/>
      <c r="H107" s="47">
        <f t="shared" si="11"/>
        <v>31165167.136341572</v>
      </c>
      <c r="I107" s="38">
        <f t="shared" si="6"/>
        <v>31177500</v>
      </c>
      <c r="J107" s="38"/>
      <c r="K107" s="22" t="s">
        <v>23</v>
      </c>
    </row>
    <row r="108" spans="2:11" s="2" customFormat="1" ht="13.8" x14ac:dyDescent="0.3">
      <c r="B108" s="46" t="s">
        <v>35</v>
      </c>
      <c r="C108" s="30">
        <v>46326</v>
      </c>
      <c r="D108" s="22">
        <f t="shared" si="13"/>
        <v>31</v>
      </c>
      <c r="E108" s="21">
        <f t="shared" si="9"/>
        <v>112500</v>
      </c>
      <c r="F108" s="35">
        <f t="shared" si="4"/>
        <v>121788.46409246698</v>
      </c>
      <c r="G108" s="21"/>
      <c r="H108" s="47">
        <f t="shared" si="11"/>
        <v>31286955.600434039</v>
      </c>
      <c r="I108" s="38">
        <f t="shared" si="6"/>
        <v>31290000</v>
      </c>
      <c r="J108" s="38"/>
      <c r="K108" s="22" t="s">
        <v>23</v>
      </c>
    </row>
    <row r="109" spans="2:11" s="2" customFormat="1" ht="13.8" x14ac:dyDescent="0.3">
      <c r="B109" s="46" t="s">
        <v>36</v>
      </c>
      <c r="C109" s="30">
        <v>46342</v>
      </c>
      <c r="D109" s="22">
        <f t="shared" si="13"/>
        <v>16</v>
      </c>
      <c r="E109" s="21">
        <f>$D$19*$D$6/360*D109</f>
        <v>60000</v>
      </c>
      <c r="F109" s="35">
        <f t="shared" si="4"/>
        <v>63044.656758692116</v>
      </c>
      <c r="G109" s="21">
        <f>D39</f>
        <v>-1350000</v>
      </c>
      <c r="H109" s="47">
        <f t="shared" si="11"/>
        <v>30000000.257192731</v>
      </c>
      <c r="I109" s="38">
        <f t="shared" si="6"/>
        <v>30000000</v>
      </c>
      <c r="J109" s="38"/>
      <c r="K109" s="22" t="s">
        <v>23</v>
      </c>
    </row>
    <row r="110" spans="2:11" s="2" customFormat="1" thickBot="1" x14ac:dyDescent="0.35">
      <c r="B110" s="91" t="s">
        <v>37</v>
      </c>
      <c r="C110" s="92">
        <v>46342</v>
      </c>
      <c r="D110" s="93"/>
      <c r="E110" s="93"/>
      <c r="F110" s="49"/>
      <c r="G110" s="94">
        <f>D40</f>
        <v>-30000000</v>
      </c>
      <c r="H110" s="50">
        <f t="shared" si="5"/>
        <v>0.25719273090362549</v>
      </c>
      <c r="I110" s="38">
        <f t="shared" si="6"/>
        <v>0</v>
      </c>
      <c r="J110" s="38"/>
      <c r="K110" s="22" t="s">
        <v>23</v>
      </c>
    </row>
    <row r="111" spans="2:11" s="2" customFormat="1" ht="13.8" x14ac:dyDescent="0.3">
      <c r="B111" s="1"/>
    </row>
  </sheetData>
  <phoneticPr fontId="59" type="noConversion"/>
  <pageMargins left="0.7" right="0.7" top="0.78740157499999996" bottom="0.78740157499999996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C92CE-7325-4C8D-A662-6C4E00BFECF5}">
  <sheetPr codeName="List10"/>
  <dimension ref="A1:AB44"/>
  <sheetViews>
    <sheetView topLeftCell="A25" workbookViewId="0">
      <selection activeCell="G42" sqref="G42"/>
    </sheetView>
  </sheetViews>
  <sheetFormatPr defaultRowHeight="14.4" x14ac:dyDescent="0.3"/>
  <cols>
    <col min="2" max="2" width="12.88671875" customWidth="1"/>
    <col min="3" max="3" width="12.5546875" bestFit="1" customWidth="1"/>
    <col min="6" max="6" width="16.33203125" bestFit="1" customWidth="1"/>
    <col min="7" max="7" width="13.6640625" bestFit="1" customWidth="1"/>
    <col min="13" max="13" width="22.5546875" customWidth="1"/>
    <col min="17" max="17" width="10.5546875" bestFit="1" customWidth="1"/>
    <col min="18" max="18" width="9.21875" bestFit="1" customWidth="1"/>
  </cols>
  <sheetData>
    <row r="1" spans="1:28" x14ac:dyDescent="0.3">
      <c r="A1" s="390" t="s">
        <v>886</v>
      </c>
      <c r="B1" s="123" t="s">
        <v>887</v>
      </c>
      <c r="C1" s="124" t="s">
        <v>888</v>
      </c>
      <c r="D1" s="421" t="s">
        <v>522</v>
      </c>
      <c r="E1" s="404" t="s">
        <v>839</v>
      </c>
      <c r="F1" s="421" t="s">
        <v>528</v>
      </c>
      <c r="G1" s="421" t="s">
        <v>840</v>
      </c>
      <c r="H1" s="404" t="s">
        <v>14</v>
      </c>
      <c r="I1" s="404" t="s">
        <v>841</v>
      </c>
      <c r="J1" s="419" t="s">
        <v>58</v>
      </c>
      <c r="K1" s="420" t="s">
        <v>524</v>
      </c>
      <c r="L1" s="420" t="s">
        <v>523</v>
      </c>
      <c r="M1" s="420" t="s">
        <v>526</v>
      </c>
      <c r="N1" s="420" t="s">
        <v>525</v>
      </c>
      <c r="O1" s="420" t="s">
        <v>842</v>
      </c>
      <c r="P1" s="420" t="s">
        <v>843</v>
      </c>
      <c r="Q1" s="420" t="s">
        <v>844</v>
      </c>
      <c r="R1" s="420" t="s">
        <v>845</v>
      </c>
      <c r="S1" s="405" t="s">
        <v>14</v>
      </c>
      <c r="T1" s="420" t="s">
        <v>42</v>
      </c>
      <c r="U1" s="420" t="s">
        <v>527</v>
      </c>
      <c r="V1" s="420" t="s">
        <v>846</v>
      </c>
      <c r="W1" s="420" t="s">
        <v>847</v>
      </c>
      <c r="X1" s="420" t="s">
        <v>848</v>
      </c>
      <c r="Y1" s="420" t="s">
        <v>849</v>
      </c>
      <c r="Z1" s="420" t="s">
        <v>850</v>
      </c>
      <c r="AA1" s="420" t="s">
        <v>851</v>
      </c>
      <c r="AB1" s="420" t="s">
        <v>852</v>
      </c>
    </row>
    <row r="2" spans="1:28" x14ac:dyDescent="0.3">
      <c r="A2" s="391">
        <v>24.475000000000001</v>
      </c>
      <c r="B2" s="125">
        <v>-3780.8200204290092</v>
      </c>
      <c r="C2" s="126">
        <v>-3780.82</v>
      </c>
      <c r="D2" s="428" t="s">
        <v>808</v>
      </c>
      <c r="E2" s="429" t="s">
        <v>853</v>
      </c>
      <c r="F2" s="430">
        <v>-92535.57</v>
      </c>
      <c r="G2" s="430">
        <v>-3780.82</v>
      </c>
      <c r="H2" s="429" t="s">
        <v>15</v>
      </c>
      <c r="I2" s="429" t="s">
        <v>1055</v>
      </c>
      <c r="J2" s="336" t="s">
        <v>1060</v>
      </c>
      <c r="K2" s="405" t="s">
        <v>866</v>
      </c>
      <c r="L2" s="336" t="s">
        <v>879</v>
      </c>
      <c r="M2" s="336" t="s">
        <v>1061</v>
      </c>
      <c r="N2" s="403"/>
      <c r="O2" s="336" t="s">
        <v>800</v>
      </c>
      <c r="P2" s="336" t="s">
        <v>808</v>
      </c>
      <c r="Q2" s="408">
        <v>92535.57</v>
      </c>
      <c r="R2" s="408">
        <v>3780.82</v>
      </c>
      <c r="S2" s="405" t="s">
        <v>15</v>
      </c>
      <c r="T2" s="405" t="s">
        <v>1062</v>
      </c>
      <c r="U2" s="336" t="s">
        <v>1063</v>
      </c>
      <c r="V2" s="403"/>
      <c r="W2" s="403"/>
      <c r="X2" s="403"/>
      <c r="Y2" s="403"/>
      <c r="Z2" s="403"/>
      <c r="AA2" s="403"/>
      <c r="AB2" s="408">
        <v>92535.57</v>
      </c>
    </row>
    <row r="3" spans="1:28" x14ac:dyDescent="0.3">
      <c r="A3" s="391">
        <v>24.475000000000001</v>
      </c>
      <c r="B3" s="125">
        <v>-7000</v>
      </c>
      <c r="C3" s="126">
        <v>-7000</v>
      </c>
      <c r="D3" s="428" t="s">
        <v>808</v>
      </c>
      <c r="E3" s="429" t="s">
        <v>853</v>
      </c>
      <c r="F3" s="430">
        <v>-171325</v>
      </c>
      <c r="G3" s="430">
        <v>-7000</v>
      </c>
      <c r="H3" s="429" t="s">
        <v>15</v>
      </c>
      <c r="I3" s="429" t="s">
        <v>1055</v>
      </c>
      <c r="J3" s="336" t="s">
        <v>1060</v>
      </c>
      <c r="K3" s="405" t="s">
        <v>866</v>
      </c>
      <c r="L3" s="336" t="s">
        <v>880</v>
      </c>
      <c r="M3" s="336" t="s">
        <v>1064</v>
      </c>
      <c r="N3" s="403"/>
      <c r="O3" s="336" t="s">
        <v>800</v>
      </c>
      <c r="P3" s="336" t="s">
        <v>808</v>
      </c>
      <c r="Q3" s="408">
        <v>171325</v>
      </c>
      <c r="R3" s="408">
        <v>7000</v>
      </c>
      <c r="S3" s="405" t="s">
        <v>15</v>
      </c>
      <c r="T3" s="405" t="s">
        <v>1062</v>
      </c>
      <c r="U3" s="403"/>
      <c r="V3" s="403"/>
      <c r="W3" s="403"/>
      <c r="X3" s="403"/>
      <c r="Y3" s="403"/>
      <c r="Z3" s="403"/>
      <c r="AA3" s="403"/>
      <c r="AB3" s="408">
        <v>171325</v>
      </c>
    </row>
    <row r="4" spans="1:28" x14ac:dyDescent="0.3">
      <c r="A4" s="391">
        <v>24.42</v>
      </c>
      <c r="B4" s="125">
        <v>-397.26003276003274</v>
      </c>
      <c r="C4" s="126">
        <v>-397.26</v>
      </c>
      <c r="D4" s="428" t="s">
        <v>808</v>
      </c>
      <c r="E4" s="429" t="s">
        <v>853</v>
      </c>
      <c r="F4" s="430">
        <v>-9701.09</v>
      </c>
      <c r="G4" s="430">
        <v>-397.26</v>
      </c>
      <c r="H4" s="429" t="s">
        <v>15</v>
      </c>
      <c r="I4" s="429" t="s">
        <v>1085</v>
      </c>
      <c r="J4" s="336" t="s">
        <v>1093</v>
      </c>
      <c r="K4" s="405" t="s">
        <v>866</v>
      </c>
      <c r="L4" s="336" t="s">
        <v>1094</v>
      </c>
      <c r="M4" s="336" t="s">
        <v>1095</v>
      </c>
      <c r="N4" s="403"/>
      <c r="O4" s="336" t="s">
        <v>800</v>
      </c>
      <c r="P4" s="336" t="s">
        <v>808</v>
      </c>
      <c r="Q4" s="408">
        <v>9701.09</v>
      </c>
      <c r="R4" s="408">
        <v>397.26</v>
      </c>
      <c r="S4" s="405" t="s">
        <v>15</v>
      </c>
      <c r="T4" s="405" t="s">
        <v>1096</v>
      </c>
      <c r="U4" s="336" t="s">
        <v>1097</v>
      </c>
      <c r="V4" s="403"/>
      <c r="W4" s="403"/>
      <c r="X4" s="403"/>
      <c r="Y4" s="403"/>
      <c r="Z4" s="403"/>
      <c r="AA4" s="403"/>
      <c r="AB4" s="408">
        <v>9701.09</v>
      </c>
    </row>
    <row r="5" spans="1:28" x14ac:dyDescent="0.3">
      <c r="A5" s="391">
        <v>24.605</v>
      </c>
      <c r="B5" s="125">
        <v>-700</v>
      </c>
      <c r="C5" s="126">
        <v>-700</v>
      </c>
      <c r="D5" s="428" t="s">
        <v>808</v>
      </c>
      <c r="E5" s="429" t="s">
        <v>853</v>
      </c>
      <c r="F5" s="430">
        <v>-17223.5</v>
      </c>
      <c r="G5" s="430">
        <v>-700</v>
      </c>
      <c r="H5" s="429" t="s">
        <v>15</v>
      </c>
      <c r="I5" s="429" t="s">
        <v>1103</v>
      </c>
      <c r="J5" s="336" t="s">
        <v>1106</v>
      </c>
      <c r="K5" s="405" t="s">
        <v>866</v>
      </c>
      <c r="L5" s="336" t="s">
        <v>1107</v>
      </c>
      <c r="M5" s="336" t="s">
        <v>1108</v>
      </c>
      <c r="N5" s="403"/>
      <c r="O5" s="336" t="s">
        <v>800</v>
      </c>
      <c r="P5" s="336" t="s">
        <v>808</v>
      </c>
      <c r="Q5" s="408">
        <v>17223.5</v>
      </c>
      <c r="R5" s="408">
        <v>700</v>
      </c>
      <c r="S5" s="405" t="s">
        <v>15</v>
      </c>
      <c r="T5" s="405" t="s">
        <v>1102</v>
      </c>
      <c r="U5" s="403"/>
      <c r="V5" s="403"/>
      <c r="W5" s="403"/>
      <c r="X5" s="403"/>
      <c r="Y5" s="403"/>
      <c r="Z5" s="403"/>
      <c r="AA5" s="403"/>
      <c r="AB5" s="408">
        <v>17223.5</v>
      </c>
    </row>
    <row r="6" spans="1:28" x14ac:dyDescent="0.3">
      <c r="A6" s="391">
        <v>24.715</v>
      </c>
      <c r="B6" s="125">
        <v>-1700</v>
      </c>
      <c r="C6" s="126">
        <v>-1700</v>
      </c>
      <c r="D6" s="428" t="s">
        <v>808</v>
      </c>
      <c r="E6" s="429" t="s">
        <v>853</v>
      </c>
      <c r="F6" s="430">
        <v>-42015.5</v>
      </c>
      <c r="G6" s="430">
        <v>-1700</v>
      </c>
      <c r="H6" s="429" t="s">
        <v>15</v>
      </c>
      <c r="I6" s="429" t="s">
        <v>1125</v>
      </c>
      <c r="J6" s="336" t="s">
        <v>1126</v>
      </c>
      <c r="K6" s="405" t="s">
        <v>866</v>
      </c>
      <c r="L6" s="336" t="s">
        <v>1127</v>
      </c>
      <c r="M6" s="336" t="s">
        <v>1128</v>
      </c>
      <c r="N6" s="403"/>
      <c r="O6" s="336" t="s">
        <v>800</v>
      </c>
      <c r="P6" s="336" t="s">
        <v>808</v>
      </c>
      <c r="Q6" s="408">
        <v>42015.5</v>
      </c>
      <c r="R6" s="408">
        <v>1700</v>
      </c>
      <c r="S6" s="405" t="s">
        <v>15</v>
      </c>
      <c r="T6" s="405" t="s">
        <v>1129</v>
      </c>
      <c r="U6" s="403"/>
      <c r="V6" s="403"/>
      <c r="W6" s="403"/>
      <c r="X6" s="403"/>
      <c r="Y6" s="403"/>
      <c r="Z6" s="403"/>
      <c r="AA6" s="403"/>
      <c r="AB6" s="408">
        <v>42015.5</v>
      </c>
    </row>
    <row r="7" spans="1:28" x14ac:dyDescent="0.3">
      <c r="A7" s="391">
        <v>24.75</v>
      </c>
      <c r="B7" s="125">
        <v>-200</v>
      </c>
      <c r="C7" s="126">
        <v>-200</v>
      </c>
      <c r="D7" s="428" t="s">
        <v>808</v>
      </c>
      <c r="E7" s="429" t="s">
        <v>853</v>
      </c>
      <c r="F7" s="430">
        <v>-4950</v>
      </c>
      <c r="G7" s="430">
        <v>-200</v>
      </c>
      <c r="H7" s="429" t="s">
        <v>15</v>
      </c>
      <c r="I7" s="429" t="s">
        <v>1125</v>
      </c>
      <c r="J7" s="336" t="s">
        <v>1137</v>
      </c>
      <c r="K7" s="405" t="s">
        <v>866</v>
      </c>
      <c r="L7" s="336" t="s">
        <v>1138</v>
      </c>
      <c r="M7" s="336" t="s">
        <v>1139</v>
      </c>
      <c r="N7" s="403"/>
      <c r="O7" s="336" t="s">
        <v>800</v>
      </c>
      <c r="P7" s="336" t="s">
        <v>808</v>
      </c>
      <c r="Q7" s="408">
        <v>4950</v>
      </c>
      <c r="R7" s="408">
        <v>200</v>
      </c>
      <c r="S7" s="405" t="s">
        <v>15</v>
      </c>
      <c r="T7" s="405" t="s">
        <v>1140</v>
      </c>
      <c r="U7" s="403"/>
      <c r="V7" s="403"/>
      <c r="W7" s="403"/>
      <c r="X7" s="403"/>
      <c r="Y7" s="403"/>
      <c r="Z7" s="403"/>
      <c r="AA7" s="403"/>
      <c r="AB7" s="408">
        <v>4950</v>
      </c>
    </row>
    <row r="8" spans="1:28" x14ac:dyDescent="0.3">
      <c r="A8" s="391">
        <v>24.725000000000001</v>
      </c>
      <c r="B8" s="125">
        <v>-14600</v>
      </c>
      <c r="C8" s="126">
        <v>-14600</v>
      </c>
      <c r="D8" s="428" t="s">
        <v>808</v>
      </c>
      <c r="E8" s="429" t="s">
        <v>853</v>
      </c>
      <c r="F8" s="430">
        <v>-360985</v>
      </c>
      <c r="G8" s="430">
        <v>-14600</v>
      </c>
      <c r="H8" s="429" t="s">
        <v>15</v>
      </c>
      <c r="I8" s="429" t="s">
        <v>1125</v>
      </c>
      <c r="J8" s="336" t="s">
        <v>1143</v>
      </c>
      <c r="K8" s="405" t="s">
        <v>866</v>
      </c>
      <c r="L8" s="336" t="s">
        <v>1144</v>
      </c>
      <c r="M8" s="336" t="s">
        <v>1145</v>
      </c>
      <c r="N8" s="403"/>
      <c r="O8" s="336" t="s">
        <v>800</v>
      </c>
      <c r="P8" s="336" t="s">
        <v>808</v>
      </c>
      <c r="Q8" s="408">
        <v>360985</v>
      </c>
      <c r="R8" s="408">
        <v>14600</v>
      </c>
      <c r="S8" s="405" t="s">
        <v>15</v>
      </c>
      <c r="T8" s="405" t="s">
        <v>1142</v>
      </c>
      <c r="U8" s="403"/>
      <c r="V8" s="403"/>
      <c r="W8" s="403"/>
      <c r="X8" s="403"/>
      <c r="Y8" s="403"/>
      <c r="Z8" s="403"/>
      <c r="AA8" s="403"/>
      <c r="AB8" s="408">
        <v>360985</v>
      </c>
    </row>
    <row r="9" spans="1:28" x14ac:dyDescent="0.3">
      <c r="A9" s="391">
        <v>24.59</v>
      </c>
      <c r="B9" s="125">
        <v>-4700</v>
      </c>
      <c r="C9" s="126">
        <v>-4700</v>
      </c>
      <c r="D9" s="428" t="s">
        <v>808</v>
      </c>
      <c r="E9" s="429" t="s">
        <v>853</v>
      </c>
      <c r="F9" s="430">
        <v>-115573</v>
      </c>
      <c r="G9" s="430">
        <v>-4700</v>
      </c>
      <c r="H9" s="429" t="s">
        <v>15</v>
      </c>
      <c r="I9" s="429" t="s">
        <v>1289</v>
      </c>
      <c r="J9" s="336" t="s">
        <v>1241</v>
      </c>
      <c r="K9" s="405" t="s">
        <v>866</v>
      </c>
      <c r="L9" s="336" t="s">
        <v>1290</v>
      </c>
      <c r="M9" s="336" t="s">
        <v>1291</v>
      </c>
      <c r="N9" s="403"/>
      <c r="O9" s="336" t="s">
        <v>800</v>
      </c>
      <c r="P9" s="336" t="s">
        <v>808</v>
      </c>
      <c r="Q9" s="408">
        <v>115573</v>
      </c>
      <c r="R9" s="408">
        <v>4700</v>
      </c>
      <c r="S9" s="405" t="s">
        <v>15</v>
      </c>
      <c r="T9" s="405" t="s">
        <v>1292</v>
      </c>
      <c r="U9" s="403"/>
      <c r="V9" s="403"/>
      <c r="W9" s="403"/>
      <c r="X9" s="403"/>
      <c r="Y9" s="403"/>
      <c r="Z9" s="403"/>
      <c r="AA9" s="403"/>
      <c r="AB9" s="408">
        <v>115573</v>
      </c>
    </row>
    <row r="10" spans="1:28" x14ac:dyDescent="0.3">
      <c r="A10" s="391">
        <v>24.5</v>
      </c>
      <c r="B10" s="125">
        <v>-800</v>
      </c>
      <c r="C10" s="126">
        <v>-800</v>
      </c>
      <c r="D10" s="428" t="s">
        <v>808</v>
      </c>
      <c r="E10" s="429" t="s">
        <v>853</v>
      </c>
      <c r="F10" s="430">
        <v>-19600</v>
      </c>
      <c r="G10" s="430">
        <v>-800</v>
      </c>
      <c r="H10" s="429" t="s">
        <v>15</v>
      </c>
      <c r="I10" s="429" t="s">
        <v>1289</v>
      </c>
      <c r="J10" s="336" t="s">
        <v>1249</v>
      </c>
      <c r="K10" s="405" t="s">
        <v>866</v>
      </c>
      <c r="L10" s="336" t="s">
        <v>1293</v>
      </c>
      <c r="M10" s="336" t="s">
        <v>1294</v>
      </c>
      <c r="N10" s="403"/>
      <c r="O10" s="336" t="s">
        <v>800</v>
      </c>
      <c r="P10" s="336" t="s">
        <v>808</v>
      </c>
      <c r="Q10" s="408">
        <v>19600</v>
      </c>
      <c r="R10" s="408">
        <v>800</v>
      </c>
      <c r="S10" s="405" t="s">
        <v>15</v>
      </c>
      <c r="T10" s="405" t="s">
        <v>1295</v>
      </c>
      <c r="U10" s="403"/>
      <c r="V10" s="403"/>
      <c r="W10" s="403"/>
      <c r="X10" s="403"/>
      <c r="Y10" s="403"/>
      <c r="Z10" s="403"/>
      <c r="AA10" s="403"/>
      <c r="AB10" s="408">
        <v>19600</v>
      </c>
    </row>
    <row r="11" spans="1:28" x14ac:dyDescent="0.3">
      <c r="A11" s="391">
        <v>24.605</v>
      </c>
      <c r="B11" s="125">
        <v>-200</v>
      </c>
      <c r="C11" s="126">
        <v>-200</v>
      </c>
      <c r="D11" s="428" t="s">
        <v>808</v>
      </c>
      <c r="E11" s="429" t="s">
        <v>853</v>
      </c>
      <c r="F11" s="430">
        <v>-4921</v>
      </c>
      <c r="G11" s="430">
        <v>-200</v>
      </c>
      <c r="H11" s="429" t="s">
        <v>15</v>
      </c>
      <c r="I11" s="429" t="s">
        <v>1289</v>
      </c>
      <c r="J11" s="336" t="s">
        <v>1254</v>
      </c>
      <c r="K11" s="405" t="s">
        <v>866</v>
      </c>
      <c r="L11" s="336" t="s">
        <v>1296</v>
      </c>
      <c r="M11" s="336" t="s">
        <v>1297</v>
      </c>
      <c r="N11" s="403"/>
      <c r="O11" s="336" t="s">
        <v>800</v>
      </c>
      <c r="P11" s="336" t="s">
        <v>808</v>
      </c>
      <c r="Q11" s="408">
        <v>4921</v>
      </c>
      <c r="R11" s="408">
        <v>200</v>
      </c>
      <c r="S11" s="405" t="s">
        <v>15</v>
      </c>
      <c r="T11" s="405" t="s">
        <v>1102</v>
      </c>
      <c r="U11" s="403"/>
      <c r="V11" s="403"/>
      <c r="W11" s="403"/>
      <c r="X11" s="403"/>
      <c r="Y11" s="403"/>
      <c r="Z11" s="403"/>
      <c r="AA11" s="403"/>
      <c r="AB11" s="408">
        <v>4921</v>
      </c>
    </row>
    <row r="12" spans="1:28" x14ac:dyDescent="0.3">
      <c r="A12" s="391">
        <v>24.605</v>
      </c>
      <c r="B12" s="125">
        <v>-25250</v>
      </c>
      <c r="C12" s="126">
        <v>-25250</v>
      </c>
      <c r="D12" s="428" t="s">
        <v>808</v>
      </c>
      <c r="E12" s="429" t="s">
        <v>853</v>
      </c>
      <c r="F12" s="430">
        <v>-621276.25</v>
      </c>
      <c r="G12" s="430">
        <v>-25250</v>
      </c>
      <c r="H12" s="429" t="s">
        <v>15</v>
      </c>
      <c r="I12" s="429" t="s">
        <v>1289</v>
      </c>
      <c r="J12" s="336" t="s">
        <v>1254</v>
      </c>
      <c r="K12" s="405" t="s">
        <v>866</v>
      </c>
      <c r="L12" s="336" t="s">
        <v>1298</v>
      </c>
      <c r="M12" s="336" t="s">
        <v>1297</v>
      </c>
      <c r="N12" s="403"/>
      <c r="O12" s="336" t="s">
        <v>800</v>
      </c>
      <c r="P12" s="336" t="s">
        <v>808</v>
      </c>
      <c r="Q12" s="408">
        <v>621276.25</v>
      </c>
      <c r="R12" s="408">
        <v>25250</v>
      </c>
      <c r="S12" s="405" t="s">
        <v>15</v>
      </c>
      <c r="T12" s="405" t="s">
        <v>1102</v>
      </c>
      <c r="U12" s="403"/>
      <c r="V12" s="403"/>
      <c r="W12" s="403"/>
      <c r="X12" s="403"/>
      <c r="Y12" s="403"/>
      <c r="Z12" s="403"/>
      <c r="AA12" s="403"/>
      <c r="AB12" s="408">
        <v>621276.25</v>
      </c>
    </row>
    <row r="13" spans="1:28" x14ac:dyDescent="0.3">
      <c r="A13" s="391">
        <v>24.344999999999999</v>
      </c>
      <c r="B13" s="125">
        <v>-2600</v>
      </c>
      <c r="C13" s="126">
        <v>-2600</v>
      </c>
      <c r="D13" s="428" t="s">
        <v>808</v>
      </c>
      <c r="E13" s="429" t="s">
        <v>853</v>
      </c>
      <c r="F13" s="430">
        <v>-63297</v>
      </c>
      <c r="G13" s="430">
        <v>-2600</v>
      </c>
      <c r="H13" s="429" t="s">
        <v>15</v>
      </c>
      <c r="I13" s="429" t="s">
        <v>1299</v>
      </c>
      <c r="J13" s="336" t="s">
        <v>1300</v>
      </c>
      <c r="K13" s="405" t="s">
        <v>866</v>
      </c>
      <c r="L13" s="336" t="s">
        <v>1301</v>
      </c>
      <c r="M13" s="336" t="s">
        <v>1297</v>
      </c>
      <c r="N13" s="403"/>
      <c r="O13" s="336" t="s">
        <v>800</v>
      </c>
      <c r="P13" s="336" t="s">
        <v>808</v>
      </c>
      <c r="Q13" s="408">
        <v>63297</v>
      </c>
      <c r="R13" s="408">
        <v>2600</v>
      </c>
      <c r="S13" s="405" t="s">
        <v>15</v>
      </c>
      <c r="T13" s="405" t="s">
        <v>1302</v>
      </c>
      <c r="U13" s="403"/>
      <c r="V13" s="403"/>
      <c r="W13" s="403"/>
      <c r="X13" s="403"/>
      <c r="Y13" s="403"/>
      <c r="Z13" s="403"/>
      <c r="AA13" s="403"/>
      <c r="AB13" s="408">
        <v>63297</v>
      </c>
    </row>
    <row r="14" spans="1:28" x14ac:dyDescent="0.3">
      <c r="A14" s="391">
        <v>24.55</v>
      </c>
      <c r="B14" s="125">
        <v>-15200</v>
      </c>
      <c r="C14" s="126">
        <v>-15200</v>
      </c>
      <c r="D14" s="428" t="s">
        <v>808</v>
      </c>
      <c r="E14" s="429" t="s">
        <v>853</v>
      </c>
      <c r="F14" s="430">
        <v>-373160</v>
      </c>
      <c r="G14" s="430">
        <v>-15200</v>
      </c>
      <c r="H14" s="429" t="s">
        <v>15</v>
      </c>
      <c r="I14" s="429" t="s">
        <v>1305</v>
      </c>
      <c r="J14" s="336" t="s">
        <v>1308</v>
      </c>
      <c r="K14" s="405" t="s">
        <v>866</v>
      </c>
      <c r="L14" s="336" t="s">
        <v>1309</v>
      </c>
      <c r="M14" s="336" t="s">
        <v>1297</v>
      </c>
      <c r="N14" s="403"/>
      <c r="O14" s="336" t="s">
        <v>800</v>
      </c>
      <c r="P14" s="336" t="s">
        <v>808</v>
      </c>
      <c r="Q14" s="408">
        <v>373160</v>
      </c>
      <c r="R14" s="408">
        <v>15200</v>
      </c>
      <c r="S14" s="405" t="s">
        <v>15</v>
      </c>
      <c r="T14" s="405" t="s">
        <v>1310</v>
      </c>
      <c r="U14" s="403"/>
      <c r="V14" s="403"/>
      <c r="W14" s="403"/>
      <c r="X14" s="403"/>
      <c r="Y14" s="403"/>
      <c r="Z14" s="403"/>
      <c r="AA14" s="403"/>
      <c r="AB14" s="408">
        <v>373160</v>
      </c>
    </row>
    <row r="15" spans="1:28" x14ac:dyDescent="0.3">
      <c r="A15" s="391">
        <v>24.51</v>
      </c>
      <c r="B15" s="125">
        <v>-700</v>
      </c>
      <c r="C15" s="126">
        <v>-700</v>
      </c>
      <c r="D15" s="428" t="s">
        <v>808</v>
      </c>
      <c r="E15" s="429" t="s">
        <v>853</v>
      </c>
      <c r="F15" s="430">
        <v>-17157</v>
      </c>
      <c r="G15" s="430">
        <v>-700</v>
      </c>
      <c r="H15" s="429" t="s">
        <v>15</v>
      </c>
      <c r="I15" s="429" t="s">
        <v>854</v>
      </c>
      <c r="J15" s="336" t="s">
        <v>1320</v>
      </c>
      <c r="K15" s="405" t="s">
        <v>866</v>
      </c>
      <c r="L15" s="336" t="s">
        <v>1321</v>
      </c>
      <c r="M15" s="336" t="s">
        <v>1297</v>
      </c>
      <c r="N15" s="403"/>
      <c r="O15" s="336" t="s">
        <v>800</v>
      </c>
      <c r="P15" s="336" t="s">
        <v>808</v>
      </c>
      <c r="Q15" s="408">
        <v>17157</v>
      </c>
      <c r="R15" s="408">
        <v>700</v>
      </c>
      <c r="S15" s="405" t="s">
        <v>15</v>
      </c>
      <c r="T15" s="405" t="s">
        <v>1322</v>
      </c>
      <c r="U15" s="403"/>
      <c r="V15" s="403"/>
      <c r="W15" s="403"/>
      <c r="X15" s="403"/>
      <c r="Y15" s="403"/>
      <c r="Z15" s="403"/>
      <c r="AA15" s="403"/>
      <c r="AB15" s="408">
        <v>17157</v>
      </c>
    </row>
    <row r="16" spans="1:28" x14ac:dyDescent="0.3">
      <c r="A16" s="391">
        <v>24.535</v>
      </c>
      <c r="B16" s="125">
        <v>-2400</v>
      </c>
      <c r="C16" s="126">
        <v>-2400</v>
      </c>
      <c r="D16" s="428" t="s">
        <v>808</v>
      </c>
      <c r="E16" s="429" t="s">
        <v>853</v>
      </c>
      <c r="F16" s="430">
        <v>-58884</v>
      </c>
      <c r="G16" s="430">
        <v>-2400</v>
      </c>
      <c r="H16" s="429" t="s">
        <v>15</v>
      </c>
      <c r="I16" s="429" t="s">
        <v>857</v>
      </c>
      <c r="J16" s="336" t="s">
        <v>1324</v>
      </c>
      <c r="K16" s="405" t="s">
        <v>866</v>
      </c>
      <c r="L16" s="336" t="s">
        <v>1325</v>
      </c>
      <c r="M16" s="336" t="s">
        <v>1326</v>
      </c>
      <c r="N16" s="403"/>
      <c r="O16" s="336" t="s">
        <v>800</v>
      </c>
      <c r="P16" s="336" t="s">
        <v>808</v>
      </c>
      <c r="Q16" s="408">
        <v>58884</v>
      </c>
      <c r="R16" s="408">
        <v>2400</v>
      </c>
      <c r="S16" s="405" t="s">
        <v>15</v>
      </c>
      <c r="T16" s="405" t="s">
        <v>1327</v>
      </c>
      <c r="U16" s="403"/>
      <c r="V16" s="403"/>
      <c r="W16" s="403"/>
      <c r="X16" s="403"/>
      <c r="Y16" s="403"/>
      <c r="Z16" s="403"/>
      <c r="AA16" s="403"/>
      <c r="AB16" s="408">
        <v>58884</v>
      </c>
    </row>
    <row r="17" spans="1:28" x14ac:dyDescent="0.3">
      <c r="A17" s="391">
        <v>24.335000000000001</v>
      </c>
      <c r="B17" s="125">
        <v>1350000</v>
      </c>
      <c r="C17" s="126">
        <v>1350000</v>
      </c>
      <c r="D17" s="428" t="s">
        <v>808</v>
      </c>
      <c r="E17" s="429" t="s">
        <v>855</v>
      </c>
      <c r="F17" s="430">
        <v>32852250</v>
      </c>
      <c r="G17" s="430">
        <v>1350000</v>
      </c>
      <c r="H17" s="429" t="s">
        <v>15</v>
      </c>
      <c r="I17" s="429" t="s">
        <v>857</v>
      </c>
      <c r="J17" s="336" t="s">
        <v>1328</v>
      </c>
      <c r="K17" s="405" t="s">
        <v>865</v>
      </c>
      <c r="L17" s="336" t="s">
        <v>1315</v>
      </c>
      <c r="M17" s="336" t="s">
        <v>1443</v>
      </c>
      <c r="N17" s="403"/>
      <c r="O17" s="336" t="s">
        <v>808</v>
      </c>
      <c r="P17" s="336" t="s">
        <v>772</v>
      </c>
      <c r="Q17" s="408">
        <v>32852250</v>
      </c>
      <c r="R17" s="408">
        <v>1350000</v>
      </c>
      <c r="S17" s="405" t="s">
        <v>15</v>
      </c>
      <c r="T17" s="405" t="s">
        <v>1329</v>
      </c>
      <c r="U17" s="336" t="s">
        <v>1316</v>
      </c>
      <c r="V17" s="403"/>
      <c r="W17" s="403"/>
      <c r="X17" s="403"/>
      <c r="Y17" s="403"/>
      <c r="Z17" s="403"/>
      <c r="AA17" s="408">
        <v>32852250</v>
      </c>
      <c r="AB17" s="403"/>
    </row>
    <row r="18" spans="1:28" x14ac:dyDescent="0.3">
      <c r="A18" s="391">
        <v>24.28</v>
      </c>
      <c r="B18" s="125">
        <v>-1350000</v>
      </c>
      <c r="C18" s="126">
        <v>-1350000</v>
      </c>
      <c r="D18" s="428" t="s">
        <v>808</v>
      </c>
      <c r="E18" s="429" t="s">
        <v>853</v>
      </c>
      <c r="F18" s="430">
        <v>-32778000</v>
      </c>
      <c r="G18" s="430">
        <v>-1350000</v>
      </c>
      <c r="H18" s="429" t="s">
        <v>15</v>
      </c>
      <c r="I18" s="429" t="s">
        <v>857</v>
      </c>
      <c r="J18" s="336" t="s">
        <v>1330</v>
      </c>
      <c r="K18" s="405" t="s">
        <v>866</v>
      </c>
      <c r="L18" s="336" t="s">
        <v>1331</v>
      </c>
      <c r="M18" s="336" t="s">
        <v>1326</v>
      </c>
      <c r="N18" s="403"/>
      <c r="O18" s="336" t="s">
        <v>800</v>
      </c>
      <c r="P18" s="336" t="s">
        <v>808</v>
      </c>
      <c r="Q18" s="408">
        <v>32778000</v>
      </c>
      <c r="R18" s="408">
        <v>1350000</v>
      </c>
      <c r="S18" s="405" t="s">
        <v>15</v>
      </c>
      <c r="T18" s="405" t="s">
        <v>1332</v>
      </c>
      <c r="U18" s="403"/>
      <c r="V18" s="403"/>
      <c r="W18" s="403"/>
      <c r="X18" s="403"/>
      <c r="Y18" s="403"/>
      <c r="Z18" s="403"/>
      <c r="AA18" s="403"/>
      <c r="AB18" s="408">
        <v>32778000</v>
      </c>
    </row>
    <row r="19" spans="1:28" x14ac:dyDescent="0.3">
      <c r="A19" s="391">
        <v>24.35</v>
      </c>
      <c r="B19" s="125">
        <v>-300</v>
      </c>
      <c r="C19" s="126">
        <v>-300</v>
      </c>
      <c r="D19" s="428" t="s">
        <v>808</v>
      </c>
      <c r="E19" s="429" t="s">
        <v>853</v>
      </c>
      <c r="F19" s="430">
        <v>-7305</v>
      </c>
      <c r="G19" s="430">
        <v>-300</v>
      </c>
      <c r="H19" s="429" t="s">
        <v>15</v>
      </c>
      <c r="I19" s="429" t="s">
        <v>857</v>
      </c>
      <c r="J19" s="336" t="s">
        <v>1334</v>
      </c>
      <c r="K19" s="405" t="s">
        <v>866</v>
      </c>
      <c r="L19" s="336" t="s">
        <v>1335</v>
      </c>
      <c r="M19" s="336" t="s">
        <v>1336</v>
      </c>
      <c r="N19" s="403"/>
      <c r="O19" s="336" t="s">
        <v>800</v>
      </c>
      <c r="P19" s="336" t="s">
        <v>808</v>
      </c>
      <c r="Q19" s="408">
        <v>7305</v>
      </c>
      <c r="R19" s="408">
        <v>300</v>
      </c>
      <c r="S19" s="405" t="s">
        <v>15</v>
      </c>
      <c r="T19" s="405" t="s">
        <v>1058</v>
      </c>
      <c r="U19" s="403"/>
      <c r="V19" s="403"/>
      <c r="W19" s="403"/>
      <c r="X19" s="403"/>
      <c r="Y19" s="403"/>
      <c r="Z19" s="403"/>
      <c r="AA19" s="403"/>
      <c r="AB19" s="408">
        <v>7305</v>
      </c>
    </row>
    <row r="20" spans="1:28" x14ac:dyDescent="0.3">
      <c r="A20" s="391">
        <v>24.35</v>
      </c>
      <c r="B20" s="125">
        <v>-3000</v>
      </c>
      <c r="C20" s="126">
        <v>-3000</v>
      </c>
      <c r="D20" s="428" t="s">
        <v>808</v>
      </c>
      <c r="E20" s="429" t="s">
        <v>853</v>
      </c>
      <c r="F20" s="430">
        <v>-73050</v>
      </c>
      <c r="G20" s="430">
        <v>-3000</v>
      </c>
      <c r="H20" s="429" t="s">
        <v>15</v>
      </c>
      <c r="I20" s="429" t="s">
        <v>857</v>
      </c>
      <c r="J20" s="336" t="s">
        <v>1334</v>
      </c>
      <c r="K20" s="405" t="s">
        <v>866</v>
      </c>
      <c r="L20" s="336" t="s">
        <v>1337</v>
      </c>
      <c r="M20" s="336" t="s">
        <v>1326</v>
      </c>
      <c r="N20" s="403"/>
      <c r="O20" s="336" t="s">
        <v>800</v>
      </c>
      <c r="P20" s="336" t="s">
        <v>808</v>
      </c>
      <c r="Q20" s="408">
        <v>73050</v>
      </c>
      <c r="R20" s="408">
        <v>3000</v>
      </c>
      <c r="S20" s="405" t="s">
        <v>15</v>
      </c>
      <c r="T20" s="405" t="s">
        <v>1058</v>
      </c>
      <c r="U20" s="403"/>
      <c r="V20" s="403"/>
      <c r="W20" s="403"/>
      <c r="X20" s="403"/>
      <c r="Y20" s="403"/>
      <c r="Z20" s="403"/>
      <c r="AA20" s="403"/>
      <c r="AB20" s="408">
        <v>73050</v>
      </c>
    </row>
    <row r="21" spans="1:28" x14ac:dyDescent="0.3">
      <c r="A21" s="391">
        <v>24.31</v>
      </c>
      <c r="B21" s="125">
        <v>-16000</v>
      </c>
      <c r="C21" s="126">
        <v>-16000</v>
      </c>
      <c r="D21" s="428" t="s">
        <v>808</v>
      </c>
      <c r="E21" s="429" t="s">
        <v>853</v>
      </c>
      <c r="F21" s="430">
        <v>-388960</v>
      </c>
      <c r="G21" s="430">
        <v>-16000</v>
      </c>
      <c r="H21" s="429" t="s">
        <v>15</v>
      </c>
      <c r="I21" s="429" t="s">
        <v>874</v>
      </c>
      <c r="J21" s="336" t="s">
        <v>1344</v>
      </c>
      <c r="K21" s="405" t="s">
        <v>866</v>
      </c>
      <c r="L21" s="336" t="s">
        <v>1345</v>
      </c>
      <c r="M21" s="336" t="s">
        <v>1326</v>
      </c>
      <c r="N21" s="403"/>
      <c r="O21" s="336" t="s">
        <v>800</v>
      </c>
      <c r="P21" s="336" t="s">
        <v>808</v>
      </c>
      <c r="Q21" s="408">
        <v>388960</v>
      </c>
      <c r="R21" s="408">
        <v>16000</v>
      </c>
      <c r="S21" s="405" t="s">
        <v>15</v>
      </c>
      <c r="T21" s="405" t="s">
        <v>1346</v>
      </c>
      <c r="U21" s="403"/>
      <c r="V21" s="403"/>
      <c r="W21" s="403"/>
      <c r="X21" s="403"/>
      <c r="Y21" s="403"/>
      <c r="Z21" s="403"/>
      <c r="AA21" s="403"/>
      <c r="AB21" s="408">
        <v>388960</v>
      </c>
    </row>
    <row r="22" spans="1:28" x14ac:dyDescent="0.3">
      <c r="A22" s="391">
        <v>24.234999999999999</v>
      </c>
      <c r="B22" s="125">
        <v>-600</v>
      </c>
      <c r="C22" s="126">
        <v>-600</v>
      </c>
      <c r="D22" s="428" t="s">
        <v>808</v>
      </c>
      <c r="E22" s="429" t="s">
        <v>853</v>
      </c>
      <c r="F22" s="430">
        <v>-14541</v>
      </c>
      <c r="G22" s="430">
        <v>-600</v>
      </c>
      <c r="H22" s="429" t="s">
        <v>15</v>
      </c>
      <c r="I22" s="429" t="s">
        <v>874</v>
      </c>
      <c r="J22" s="336" t="s">
        <v>1350</v>
      </c>
      <c r="K22" s="405" t="s">
        <v>866</v>
      </c>
      <c r="L22" s="336" t="s">
        <v>1351</v>
      </c>
      <c r="M22" s="336" t="s">
        <v>1326</v>
      </c>
      <c r="N22" s="403"/>
      <c r="O22" s="336" t="s">
        <v>800</v>
      </c>
      <c r="P22" s="336" t="s">
        <v>808</v>
      </c>
      <c r="Q22" s="408">
        <v>14541</v>
      </c>
      <c r="R22" s="408">
        <v>600</v>
      </c>
      <c r="S22" s="405" t="s">
        <v>15</v>
      </c>
      <c r="T22" s="405" t="s">
        <v>1352</v>
      </c>
      <c r="U22" s="403"/>
      <c r="V22" s="403"/>
      <c r="W22" s="403"/>
      <c r="X22" s="403"/>
      <c r="Y22" s="403"/>
      <c r="Z22" s="403"/>
      <c r="AA22" s="403"/>
      <c r="AB22" s="408">
        <v>14541</v>
      </c>
    </row>
    <row r="23" spans="1:28" x14ac:dyDescent="0.3">
      <c r="A23" s="391">
        <v>24.114999999999998</v>
      </c>
      <c r="B23" s="125">
        <v>165000</v>
      </c>
      <c r="C23" s="126">
        <v>165000</v>
      </c>
      <c r="D23" s="428" t="s">
        <v>808</v>
      </c>
      <c r="E23" s="429" t="s">
        <v>855</v>
      </c>
      <c r="F23" s="430">
        <v>3978975</v>
      </c>
      <c r="G23" s="430">
        <v>165000</v>
      </c>
      <c r="H23" s="429" t="s">
        <v>15</v>
      </c>
      <c r="I23" s="429" t="s">
        <v>874</v>
      </c>
      <c r="J23" s="336" t="s">
        <v>1354</v>
      </c>
      <c r="K23" s="405" t="s">
        <v>865</v>
      </c>
      <c r="L23" s="336" t="s">
        <v>1355</v>
      </c>
      <c r="M23" s="336" t="s">
        <v>1443</v>
      </c>
      <c r="N23" s="403"/>
      <c r="O23" s="336" t="s">
        <v>808</v>
      </c>
      <c r="P23" s="336" t="s">
        <v>772</v>
      </c>
      <c r="Q23" s="408">
        <v>3978975</v>
      </c>
      <c r="R23" s="408">
        <v>165000</v>
      </c>
      <c r="S23" s="405" t="s">
        <v>15</v>
      </c>
      <c r="T23" s="405" t="s">
        <v>1356</v>
      </c>
      <c r="U23" s="336" t="s">
        <v>1357</v>
      </c>
      <c r="V23" s="403"/>
      <c r="W23" s="403"/>
      <c r="X23" s="403"/>
      <c r="Y23" s="403"/>
      <c r="Z23" s="403"/>
      <c r="AA23" s="408">
        <v>3978975</v>
      </c>
      <c r="AB23" s="403"/>
    </row>
    <row r="24" spans="1:28" x14ac:dyDescent="0.3">
      <c r="A24" s="391">
        <v>24.125</v>
      </c>
      <c r="B24" s="125">
        <v>-4707.5299481865286</v>
      </c>
      <c r="C24" s="126">
        <v>-4707.53</v>
      </c>
      <c r="D24" s="435" t="s">
        <v>808</v>
      </c>
      <c r="E24" s="432" t="s">
        <v>853</v>
      </c>
      <c r="F24" s="434">
        <v>-113569.16</v>
      </c>
      <c r="G24" s="434">
        <v>-4707.53</v>
      </c>
      <c r="H24" s="432" t="s">
        <v>15</v>
      </c>
      <c r="I24" s="432" t="s">
        <v>1045</v>
      </c>
      <c r="J24" s="121" t="s">
        <v>1480</v>
      </c>
      <c r="K24" s="433" t="s">
        <v>866</v>
      </c>
      <c r="L24" s="121" t="s">
        <v>867</v>
      </c>
      <c r="M24" s="121" t="s">
        <v>1326</v>
      </c>
      <c r="N24" s="108"/>
      <c r="O24" s="121" t="s">
        <v>800</v>
      </c>
      <c r="P24" s="121" t="s">
        <v>808</v>
      </c>
      <c r="Q24" s="111">
        <v>113569.16</v>
      </c>
      <c r="R24" s="111">
        <v>4707.53</v>
      </c>
      <c r="S24" s="433" t="s">
        <v>15</v>
      </c>
      <c r="T24" s="433" t="s">
        <v>1481</v>
      </c>
      <c r="U24" s="108"/>
      <c r="V24" s="108"/>
      <c r="W24" s="108"/>
      <c r="X24" s="108"/>
      <c r="Y24" s="108"/>
      <c r="Z24" s="108"/>
      <c r="AA24" s="108"/>
      <c r="AB24" s="111">
        <v>113569.16</v>
      </c>
    </row>
    <row r="25" spans="1:28" x14ac:dyDescent="0.3">
      <c r="A25" s="391">
        <v>24.125</v>
      </c>
      <c r="B25" s="125">
        <v>-10000</v>
      </c>
      <c r="C25" s="126">
        <v>-10000</v>
      </c>
      <c r="D25" s="435" t="s">
        <v>808</v>
      </c>
      <c r="E25" s="432" t="s">
        <v>853</v>
      </c>
      <c r="F25" s="434">
        <v>-241250</v>
      </c>
      <c r="G25" s="434">
        <v>-10000</v>
      </c>
      <c r="H25" s="432" t="s">
        <v>15</v>
      </c>
      <c r="I25" s="432" t="s">
        <v>1045</v>
      </c>
      <c r="J25" s="121" t="s">
        <v>1480</v>
      </c>
      <c r="K25" s="433" t="s">
        <v>866</v>
      </c>
      <c r="L25" s="121" t="s">
        <v>868</v>
      </c>
      <c r="M25" s="121" t="s">
        <v>1326</v>
      </c>
      <c r="N25" s="108"/>
      <c r="O25" s="121" t="s">
        <v>800</v>
      </c>
      <c r="P25" s="121" t="s">
        <v>808</v>
      </c>
      <c r="Q25" s="111">
        <v>241250</v>
      </c>
      <c r="R25" s="111">
        <v>10000</v>
      </c>
      <c r="S25" s="433" t="s">
        <v>15</v>
      </c>
      <c r="T25" s="433" t="s">
        <v>1481</v>
      </c>
      <c r="U25" s="108"/>
      <c r="V25" s="108"/>
      <c r="W25" s="108"/>
      <c r="X25" s="108"/>
      <c r="Y25" s="108"/>
      <c r="Z25" s="108"/>
      <c r="AA25" s="108"/>
      <c r="AB25" s="111">
        <v>241250</v>
      </c>
    </row>
    <row r="26" spans="1:28" x14ac:dyDescent="0.3">
      <c r="A26" s="391">
        <v>23.92</v>
      </c>
      <c r="B26" s="125">
        <v>-499.99999999999994</v>
      </c>
      <c r="C26" s="126">
        <v>-500</v>
      </c>
      <c r="D26" s="435" t="s">
        <v>808</v>
      </c>
      <c r="E26" s="432" t="s">
        <v>853</v>
      </c>
      <c r="F26" s="434">
        <v>-11960</v>
      </c>
      <c r="G26" s="434">
        <v>-500</v>
      </c>
      <c r="H26" s="432" t="s">
        <v>15</v>
      </c>
      <c r="I26" s="432" t="s">
        <v>1045</v>
      </c>
      <c r="J26" s="121" t="s">
        <v>1484</v>
      </c>
      <c r="K26" s="433" t="s">
        <v>866</v>
      </c>
      <c r="L26" s="121" t="s">
        <v>1052</v>
      </c>
      <c r="M26" s="121" t="s">
        <v>1326</v>
      </c>
      <c r="N26" s="108"/>
      <c r="O26" s="121" t="s">
        <v>800</v>
      </c>
      <c r="P26" s="121" t="s">
        <v>808</v>
      </c>
      <c r="Q26" s="111">
        <v>11960</v>
      </c>
      <c r="R26" s="111">
        <v>500</v>
      </c>
      <c r="S26" s="433" t="s">
        <v>15</v>
      </c>
      <c r="T26" s="433" t="s">
        <v>1485</v>
      </c>
      <c r="U26" s="108"/>
      <c r="V26" s="108"/>
      <c r="W26" s="108"/>
      <c r="X26" s="108"/>
      <c r="Y26" s="108"/>
      <c r="Z26" s="108"/>
      <c r="AA26" s="108"/>
      <c r="AB26" s="111">
        <v>11960</v>
      </c>
    </row>
    <row r="27" spans="1:28" x14ac:dyDescent="0.3">
      <c r="A27" s="391">
        <v>23.83</v>
      </c>
      <c r="B27" s="125">
        <v>-400.00000000000006</v>
      </c>
      <c r="C27" s="126">
        <v>-400</v>
      </c>
      <c r="D27" s="435" t="s">
        <v>808</v>
      </c>
      <c r="E27" s="432" t="s">
        <v>853</v>
      </c>
      <c r="F27" s="434">
        <v>-9532</v>
      </c>
      <c r="G27" s="434">
        <v>-400</v>
      </c>
      <c r="H27" s="432" t="s">
        <v>15</v>
      </c>
      <c r="I27" s="432" t="s">
        <v>1055</v>
      </c>
      <c r="J27" s="121" t="s">
        <v>1487</v>
      </c>
      <c r="K27" s="433" t="s">
        <v>866</v>
      </c>
      <c r="L27" s="121" t="s">
        <v>876</v>
      </c>
      <c r="M27" s="121" t="s">
        <v>1326</v>
      </c>
      <c r="N27" s="108"/>
      <c r="O27" s="121" t="s">
        <v>800</v>
      </c>
      <c r="P27" s="121" t="s">
        <v>808</v>
      </c>
      <c r="Q27" s="111">
        <v>9532</v>
      </c>
      <c r="R27" s="111">
        <v>400</v>
      </c>
      <c r="S27" s="433" t="s">
        <v>15</v>
      </c>
      <c r="T27" s="433" t="s">
        <v>1488</v>
      </c>
      <c r="U27" s="108"/>
      <c r="V27" s="108"/>
      <c r="W27" s="108"/>
      <c r="X27" s="108"/>
      <c r="Y27" s="108"/>
      <c r="Z27" s="108"/>
      <c r="AA27" s="108"/>
      <c r="AB27" s="111">
        <v>9532</v>
      </c>
    </row>
    <row r="28" spans="1:28" x14ac:dyDescent="0.3">
      <c r="A28" s="391">
        <v>23.695</v>
      </c>
      <c r="B28" s="125">
        <v>-300</v>
      </c>
      <c r="C28" s="126">
        <v>-300</v>
      </c>
      <c r="D28" s="435" t="s">
        <v>808</v>
      </c>
      <c r="E28" s="432" t="s">
        <v>853</v>
      </c>
      <c r="F28" s="434">
        <v>-7108.5</v>
      </c>
      <c r="G28" s="434">
        <v>-300</v>
      </c>
      <c r="H28" s="432" t="s">
        <v>15</v>
      </c>
      <c r="I28" s="432" t="s">
        <v>1055</v>
      </c>
      <c r="J28" s="121" t="s">
        <v>1489</v>
      </c>
      <c r="K28" s="433" t="s">
        <v>866</v>
      </c>
      <c r="L28" s="121" t="s">
        <v>880</v>
      </c>
      <c r="M28" s="121" t="s">
        <v>1326</v>
      </c>
      <c r="N28" s="108"/>
      <c r="O28" s="121" t="s">
        <v>800</v>
      </c>
      <c r="P28" s="121" t="s">
        <v>808</v>
      </c>
      <c r="Q28" s="111">
        <v>7108.5</v>
      </c>
      <c r="R28" s="111">
        <v>300</v>
      </c>
      <c r="S28" s="433" t="s">
        <v>15</v>
      </c>
      <c r="T28" s="433" t="s">
        <v>1490</v>
      </c>
      <c r="U28" s="108"/>
      <c r="V28" s="108"/>
      <c r="W28" s="108"/>
      <c r="X28" s="108"/>
      <c r="Y28" s="108"/>
      <c r="Z28" s="108"/>
      <c r="AA28" s="108"/>
      <c r="AB28" s="111">
        <v>7108.5</v>
      </c>
    </row>
    <row r="29" spans="1:28" x14ac:dyDescent="0.3">
      <c r="A29" s="391">
        <v>23.684999999999999</v>
      </c>
      <c r="B29" s="125">
        <v>-300</v>
      </c>
      <c r="C29" s="126">
        <v>-300</v>
      </c>
      <c r="D29" s="435" t="s">
        <v>808</v>
      </c>
      <c r="E29" s="432" t="s">
        <v>853</v>
      </c>
      <c r="F29" s="434">
        <v>-7105.5</v>
      </c>
      <c r="G29" s="434">
        <v>-300</v>
      </c>
      <c r="H29" s="432" t="s">
        <v>15</v>
      </c>
      <c r="I29" s="432" t="s">
        <v>1055</v>
      </c>
      <c r="J29" s="121" t="s">
        <v>1491</v>
      </c>
      <c r="K29" s="433" t="s">
        <v>866</v>
      </c>
      <c r="L29" s="121" t="s">
        <v>885</v>
      </c>
      <c r="M29" s="121" t="s">
        <v>1326</v>
      </c>
      <c r="N29" s="108"/>
      <c r="O29" s="121" t="s">
        <v>800</v>
      </c>
      <c r="P29" s="121" t="s">
        <v>808</v>
      </c>
      <c r="Q29" s="111">
        <v>7105.5</v>
      </c>
      <c r="R29" s="111">
        <v>300</v>
      </c>
      <c r="S29" s="433" t="s">
        <v>15</v>
      </c>
      <c r="T29" s="433" t="s">
        <v>1492</v>
      </c>
      <c r="U29" s="108"/>
      <c r="V29" s="108"/>
      <c r="W29" s="108"/>
      <c r="X29" s="108"/>
      <c r="Y29" s="108"/>
      <c r="Z29" s="108"/>
      <c r="AA29" s="108"/>
      <c r="AB29" s="111">
        <v>7105.5</v>
      </c>
    </row>
    <row r="30" spans="1:28" x14ac:dyDescent="0.3">
      <c r="A30" s="391">
        <v>23.62</v>
      </c>
      <c r="B30" s="125">
        <v>-16000</v>
      </c>
      <c r="C30" s="126">
        <v>-16000</v>
      </c>
      <c r="D30" s="435" t="s">
        <v>808</v>
      </c>
      <c r="E30" s="432" t="s">
        <v>853</v>
      </c>
      <c r="F30" s="434">
        <v>-377920</v>
      </c>
      <c r="G30" s="434">
        <v>-16000</v>
      </c>
      <c r="H30" s="432" t="s">
        <v>15</v>
      </c>
      <c r="I30" s="432" t="s">
        <v>1067</v>
      </c>
      <c r="J30" s="121" t="s">
        <v>1493</v>
      </c>
      <c r="K30" s="433" t="s">
        <v>866</v>
      </c>
      <c r="L30" s="121" t="s">
        <v>1071</v>
      </c>
      <c r="M30" s="121" t="s">
        <v>1326</v>
      </c>
      <c r="N30" s="108"/>
      <c r="O30" s="121" t="s">
        <v>800</v>
      </c>
      <c r="P30" s="121" t="s">
        <v>808</v>
      </c>
      <c r="Q30" s="111">
        <v>377920</v>
      </c>
      <c r="R30" s="111">
        <v>16000</v>
      </c>
      <c r="S30" s="433" t="s">
        <v>15</v>
      </c>
      <c r="T30" s="433" t="s">
        <v>1494</v>
      </c>
      <c r="U30" s="108"/>
      <c r="V30" s="108"/>
      <c r="W30" s="108"/>
      <c r="X30" s="108"/>
      <c r="Y30" s="108"/>
      <c r="Z30" s="108"/>
      <c r="AA30" s="108"/>
      <c r="AB30" s="111">
        <v>377920</v>
      </c>
    </row>
    <row r="31" spans="1:28" x14ac:dyDescent="0.3">
      <c r="A31" s="391">
        <v>23.66</v>
      </c>
      <c r="B31" s="125">
        <v>-500</v>
      </c>
      <c r="C31" s="126">
        <v>-500</v>
      </c>
      <c r="D31" s="435" t="s">
        <v>808</v>
      </c>
      <c r="E31" s="432" t="s">
        <v>853</v>
      </c>
      <c r="F31" s="434">
        <v>-11830</v>
      </c>
      <c r="G31" s="434">
        <v>-500</v>
      </c>
      <c r="H31" s="432" t="s">
        <v>15</v>
      </c>
      <c r="I31" s="432" t="s">
        <v>1067</v>
      </c>
      <c r="J31" s="121" t="s">
        <v>1499</v>
      </c>
      <c r="K31" s="433" t="s">
        <v>866</v>
      </c>
      <c r="L31" s="121" t="s">
        <v>1081</v>
      </c>
      <c r="M31" s="121" t="s">
        <v>1326</v>
      </c>
      <c r="N31" s="108"/>
      <c r="O31" s="121" t="s">
        <v>800</v>
      </c>
      <c r="P31" s="121" t="s">
        <v>808</v>
      </c>
      <c r="Q31" s="111">
        <v>11830</v>
      </c>
      <c r="R31" s="111">
        <v>500</v>
      </c>
      <c r="S31" s="433" t="s">
        <v>15</v>
      </c>
      <c r="T31" s="433" t="s">
        <v>1500</v>
      </c>
      <c r="U31" s="108"/>
      <c r="V31" s="108"/>
      <c r="W31" s="108"/>
      <c r="X31" s="108"/>
      <c r="Y31" s="108"/>
      <c r="Z31" s="108"/>
      <c r="AA31" s="108"/>
      <c r="AB31" s="111">
        <v>11830</v>
      </c>
    </row>
    <row r="32" spans="1:28" x14ac:dyDescent="0.3">
      <c r="A32" s="391">
        <v>23.66</v>
      </c>
      <c r="B32" s="125">
        <v>-1000</v>
      </c>
      <c r="C32" s="126">
        <v>-1000</v>
      </c>
      <c r="D32" s="435" t="s">
        <v>808</v>
      </c>
      <c r="E32" s="432" t="s">
        <v>853</v>
      </c>
      <c r="F32" s="434">
        <v>-23660</v>
      </c>
      <c r="G32" s="434">
        <v>-1000</v>
      </c>
      <c r="H32" s="432" t="s">
        <v>15</v>
      </c>
      <c r="I32" s="432" t="s">
        <v>1067</v>
      </c>
      <c r="J32" s="121" t="s">
        <v>1499</v>
      </c>
      <c r="K32" s="433" t="s">
        <v>866</v>
      </c>
      <c r="L32" s="121" t="s">
        <v>1082</v>
      </c>
      <c r="M32" s="121" t="s">
        <v>1326</v>
      </c>
      <c r="N32" s="108"/>
      <c r="O32" s="121" t="s">
        <v>800</v>
      </c>
      <c r="P32" s="121" t="s">
        <v>808</v>
      </c>
      <c r="Q32" s="111">
        <v>23660</v>
      </c>
      <c r="R32" s="111">
        <v>1000</v>
      </c>
      <c r="S32" s="433" t="s">
        <v>15</v>
      </c>
      <c r="T32" s="433" t="s">
        <v>1500</v>
      </c>
      <c r="U32" s="108"/>
      <c r="V32" s="108"/>
      <c r="W32" s="108"/>
      <c r="X32" s="108"/>
      <c r="Y32" s="108"/>
      <c r="Z32" s="108"/>
      <c r="AA32" s="108"/>
      <c r="AB32" s="111">
        <v>23660</v>
      </c>
    </row>
    <row r="33" spans="1:28" x14ac:dyDescent="0.3">
      <c r="A33" s="391">
        <v>23.55</v>
      </c>
      <c r="B33" s="125">
        <v>-11684.929936305731</v>
      </c>
      <c r="C33" s="126">
        <v>-11684.93</v>
      </c>
      <c r="D33" s="435" t="s">
        <v>808</v>
      </c>
      <c r="E33" s="432" t="s">
        <v>853</v>
      </c>
      <c r="F33" s="434">
        <v>-275180.09999999998</v>
      </c>
      <c r="G33" s="434">
        <v>-11684.93</v>
      </c>
      <c r="H33" s="432" t="s">
        <v>15</v>
      </c>
      <c r="I33" s="432" t="s">
        <v>1085</v>
      </c>
      <c r="J33" s="121" t="s">
        <v>1501</v>
      </c>
      <c r="K33" s="433" t="s">
        <v>866</v>
      </c>
      <c r="L33" s="121" t="s">
        <v>1101</v>
      </c>
      <c r="M33" s="121" t="s">
        <v>1326</v>
      </c>
      <c r="N33" s="108"/>
      <c r="O33" s="121" t="s">
        <v>800</v>
      </c>
      <c r="P33" s="121" t="s">
        <v>808</v>
      </c>
      <c r="Q33" s="111">
        <v>275180.09999999998</v>
      </c>
      <c r="R33" s="111">
        <v>11684.93</v>
      </c>
      <c r="S33" s="433" t="s">
        <v>15</v>
      </c>
      <c r="T33" s="433" t="s">
        <v>1502</v>
      </c>
      <c r="U33" s="108"/>
      <c r="V33" s="108"/>
      <c r="W33" s="108"/>
      <c r="X33" s="108"/>
      <c r="Y33" s="108"/>
      <c r="Z33" s="108"/>
      <c r="AA33" s="108"/>
      <c r="AB33" s="111">
        <v>275180.09999999998</v>
      </c>
    </row>
    <row r="34" spans="1:28" x14ac:dyDescent="0.3">
      <c r="A34" s="391">
        <v>23.675000000000001</v>
      </c>
      <c r="B34" s="125">
        <v>-8000</v>
      </c>
      <c r="C34" s="126">
        <v>-8000</v>
      </c>
      <c r="D34" s="435" t="s">
        <v>808</v>
      </c>
      <c r="E34" s="432" t="s">
        <v>853</v>
      </c>
      <c r="F34" s="434">
        <v>-189400</v>
      </c>
      <c r="G34" s="434">
        <v>-8000</v>
      </c>
      <c r="H34" s="432" t="s">
        <v>15</v>
      </c>
      <c r="I34" s="432" t="s">
        <v>1103</v>
      </c>
      <c r="J34" s="121" t="s">
        <v>1507</v>
      </c>
      <c r="K34" s="433" t="s">
        <v>866</v>
      </c>
      <c r="L34" s="121" t="s">
        <v>1107</v>
      </c>
      <c r="M34" s="121" t="s">
        <v>1326</v>
      </c>
      <c r="N34" s="108"/>
      <c r="O34" s="121" t="s">
        <v>800</v>
      </c>
      <c r="P34" s="121" t="s">
        <v>808</v>
      </c>
      <c r="Q34" s="111">
        <v>189400</v>
      </c>
      <c r="R34" s="111">
        <v>8000</v>
      </c>
      <c r="S34" s="433" t="s">
        <v>15</v>
      </c>
      <c r="T34" s="433" t="s">
        <v>1508</v>
      </c>
      <c r="U34" s="108"/>
      <c r="V34" s="108"/>
      <c r="W34" s="108"/>
      <c r="X34" s="108"/>
      <c r="Y34" s="108"/>
      <c r="Z34" s="108"/>
      <c r="AA34" s="108"/>
      <c r="AB34" s="111">
        <v>189400</v>
      </c>
    </row>
    <row r="35" spans="1:28" x14ac:dyDescent="0.3">
      <c r="A35" s="391">
        <v>23.76</v>
      </c>
      <c r="B35" s="125">
        <v>-20000</v>
      </c>
      <c r="C35" s="126">
        <v>-20000</v>
      </c>
      <c r="D35" s="435" t="s">
        <v>808</v>
      </c>
      <c r="E35" s="432" t="s">
        <v>853</v>
      </c>
      <c r="F35" s="434">
        <v>-475200</v>
      </c>
      <c r="G35" s="434">
        <v>-20000</v>
      </c>
      <c r="H35" s="432" t="s">
        <v>15</v>
      </c>
      <c r="I35" s="432" t="s">
        <v>1125</v>
      </c>
      <c r="J35" s="121" t="s">
        <v>1510</v>
      </c>
      <c r="K35" s="433" t="s">
        <v>866</v>
      </c>
      <c r="L35" s="121" t="s">
        <v>1130</v>
      </c>
      <c r="M35" s="121" t="s">
        <v>1326</v>
      </c>
      <c r="N35" s="108"/>
      <c r="O35" s="121" t="s">
        <v>800</v>
      </c>
      <c r="P35" s="121" t="s">
        <v>808</v>
      </c>
      <c r="Q35" s="111">
        <v>475200</v>
      </c>
      <c r="R35" s="111">
        <v>20000</v>
      </c>
      <c r="S35" s="433" t="s">
        <v>15</v>
      </c>
      <c r="T35" s="433" t="s">
        <v>1511</v>
      </c>
      <c r="U35" s="108"/>
      <c r="V35" s="108"/>
      <c r="W35" s="108"/>
      <c r="X35" s="108"/>
      <c r="Y35" s="108"/>
      <c r="Z35" s="108"/>
      <c r="AA35" s="108"/>
      <c r="AB35" s="111">
        <v>475200</v>
      </c>
    </row>
    <row r="36" spans="1:28" x14ac:dyDescent="0.3">
      <c r="A36" s="391">
        <v>23.82</v>
      </c>
      <c r="B36" s="125">
        <v>-13136.989924433248</v>
      </c>
      <c r="C36" s="126">
        <v>-13136.99</v>
      </c>
      <c r="D36" s="435" t="s">
        <v>808</v>
      </c>
      <c r="E36" s="432" t="s">
        <v>853</v>
      </c>
      <c r="F36" s="434">
        <v>-312923.09999999998</v>
      </c>
      <c r="G36" s="434">
        <v>-13136.99</v>
      </c>
      <c r="H36" s="432" t="s">
        <v>15</v>
      </c>
      <c r="I36" s="432" t="s">
        <v>1289</v>
      </c>
      <c r="J36" s="121" t="s">
        <v>1519</v>
      </c>
      <c r="K36" s="433" t="s">
        <v>866</v>
      </c>
      <c r="L36" s="121" t="s">
        <v>1290</v>
      </c>
      <c r="M36" s="121" t="s">
        <v>1326</v>
      </c>
      <c r="N36" s="108"/>
      <c r="O36" s="121" t="s">
        <v>800</v>
      </c>
      <c r="P36" s="121" t="s">
        <v>808</v>
      </c>
      <c r="Q36" s="111">
        <v>312923.09999999998</v>
      </c>
      <c r="R36" s="111">
        <v>13136.99</v>
      </c>
      <c r="S36" s="433" t="s">
        <v>15</v>
      </c>
      <c r="T36" s="433" t="s">
        <v>1520</v>
      </c>
      <c r="U36" s="108"/>
      <c r="V36" s="108"/>
      <c r="W36" s="108"/>
      <c r="X36" s="108"/>
      <c r="Y36" s="108"/>
      <c r="Z36" s="108"/>
      <c r="AA36" s="108"/>
      <c r="AB36" s="111">
        <v>312923.09999999998</v>
      </c>
    </row>
    <row r="37" spans="1:28" x14ac:dyDescent="0.3">
      <c r="A37" s="391">
        <v>24.555</v>
      </c>
      <c r="B37" s="125">
        <v>1350000</v>
      </c>
      <c r="C37" s="126">
        <v>1350000</v>
      </c>
      <c r="D37" s="435" t="s">
        <v>808</v>
      </c>
      <c r="E37" s="432" t="s">
        <v>855</v>
      </c>
      <c r="F37" s="434">
        <v>33149250</v>
      </c>
      <c r="G37" s="434">
        <v>1350000</v>
      </c>
      <c r="H37" s="432" t="s">
        <v>15</v>
      </c>
      <c r="I37" s="432" t="s">
        <v>857</v>
      </c>
      <c r="J37" s="121" t="s">
        <v>1548</v>
      </c>
      <c r="K37" s="433" t="s">
        <v>865</v>
      </c>
      <c r="L37" s="121" t="s">
        <v>1559</v>
      </c>
      <c r="M37" s="121" t="s">
        <v>1443</v>
      </c>
      <c r="N37" s="108"/>
      <c r="O37" s="121" t="s">
        <v>808</v>
      </c>
      <c r="P37" s="121" t="s">
        <v>772</v>
      </c>
      <c r="Q37" s="111">
        <v>33149250</v>
      </c>
      <c r="R37" s="111">
        <v>1350000</v>
      </c>
      <c r="S37" s="433" t="s">
        <v>15</v>
      </c>
      <c r="T37" s="433" t="s">
        <v>1549</v>
      </c>
      <c r="U37" s="121" t="s">
        <v>1560</v>
      </c>
      <c r="V37" s="108"/>
      <c r="W37" s="108"/>
      <c r="X37" s="108"/>
      <c r="Y37" s="108"/>
      <c r="Z37" s="108"/>
      <c r="AA37" s="111">
        <v>33149250</v>
      </c>
      <c r="AB37" s="108"/>
    </row>
    <row r="38" spans="1:28" x14ac:dyDescent="0.3">
      <c r="A38" s="391">
        <v>24.53</v>
      </c>
      <c r="B38" s="125">
        <v>-1350000</v>
      </c>
      <c r="C38" s="126">
        <v>-1350000</v>
      </c>
      <c r="D38" s="435" t="s">
        <v>808</v>
      </c>
      <c r="E38" s="432" t="s">
        <v>853</v>
      </c>
      <c r="F38" s="434">
        <v>-33115500</v>
      </c>
      <c r="G38" s="434">
        <v>-1350000</v>
      </c>
      <c r="H38" s="432" t="s">
        <v>15</v>
      </c>
      <c r="I38" s="432" t="s">
        <v>857</v>
      </c>
      <c r="J38" s="121" t="s">
        <v>1550</v>
      </c>
      <c r="K38" s="433" t="s">
        <v>866</v>
      </c>
      <c r="L38" s="121" t="s">
        <v>1551</v>
      </c>
      <c r="M38" s="121" t="s">
        <v>1326</v>
      </c>
      <c r="N38" s="108"/>
      <c r="O38" s="121" t="s">
        <v>800</v>
      </c>
      <c r="P38" s="121" t="s">
        <v>808</v>
      </c>
      <c r="Q38" s="111">
        <v>33115500</v>
      </c>
      <c r="R38" s="111">
        <v>1350000</v>
      </c>
      <c r="S38" s="433" t="s">
        <v>15</v>
      </c>
      <c r="T38" s="433" t="s">
        <v>1552</v>
      </c>
      <c r="U38" s="108"/>
      <c r="V38" s="108"/>
      <c r="W38" s="108"/>
      <c r="X38" s="108"/>
      <c r="Y38" s="108"/>
      <c r="Z38" s="108"/>
      <c r="AA38" s="108"/>
      <c r="AB38" s="111">
        <v>33115500</v>
      </c>
    </row>
    <row r="39" spans="1:28" x14ac:dyDescent="0.3">
      <c r="A39" s="391">
        <v>24.59</v>
      </c>
      <c r="B39" s="125">
        <v>-1350000</v>
      </c>
      <c r="C39" s="126">
        <v>-1350000</v>
      </c>
      <c r="D39" s="435" t="s">
        <v>808</v>
      </c>
      <c r="E39" s="432" t="s">
        <v>853</v>
      </c>
      <c r="F39" s="434">
        <v>-33196500</v>
      </c>
      <c r="G39" s="434">
        <v>-1350000</v>
      </c>
      <c r="H39" s="432" t="s">
        <v>15</v>
      </c>
      <c r="I39" s="432" t="s">
        <v>857</v>
      </c>
      <c r="J39" s="121" t="s">
        <v>1553</v>
      </c>
      <c r="K39" s="433" t="s">
        <v>863</v>
      </c>
      <c r="L39" s="121" t="s">
        <v>1554</v>
      </c>
      <c r="M39" s="121" t="s">
        <v>1555</v>
      </c>
      <c r="N39" s="108"/>
      <c r="O39" s="121" t="s">
        <v>818</v>
      </c>
      <c r="P39" s="121" t="s">
        <v>808</v>
      </c>
      <c r="Q39" s="111">
        <v>33196500</v>
      </c>
      <c r="R39" s="111">
        <v>1350000</v>
      </c>
      <c r="S39" s="433" t="s">
        <v>15</v>
      </c>
      <c r="T39" s="433" t="s">
        <v>1292</v>
      </c>
      <c r="U39" s="121" t="s">
        <v>1554</v>
      </c>
      <c r="V39" s="108"/>
      <c r="W39" s="108"/>
      <c r="X39" s="108"/>
      <c r="Y39" s="108"/>
      <c r="Z39" s="108"/>
      <c r="AA39" s="108"/>
      <c r="AB39" s="111">
        <v>33196500</v>
      </c>
    </row>
    <row r="40" spans="1:28" x14ac:dyDescent="0.3">
      <c r="A40" s="391">
        <v>24.59</v>
      </c>
      <c r="B40" s="125">
        <v>1350000</v>
      </c>
      <c r="C40" s="126">
        <v>1350000</v>
      </c>
      <c r="D40" s="435" t="s">
        <v>808</v>
      </c>
      <c r="E40" s="432" t="s">
        <v>855</v>
      </c>
      <c r="F40" s="434">
        <v>33196500</v>
      </c>
      <c r="G40" s="434">
        <v>1350000</v>
      </c>
      <c r="H40" s="432" t="s">
        <v>15</v>
      </c>
      <c r="I40" s="432" t="s">
        <v>857</v>
      </c>
      <c r="J40" s="121" t="s">
        <v>1553</v>
      </c>
      <c r="K40" s="433" t="s">
        <v>866</v>
      </c>
      <c r="L40" s="121" t="s">
        <v>1556</v>
      </c>
      <c r="M40" s="121" t="s">
        <v>1557</v>
      </c>
      <c r="N40" s="108"/>
      <c r="O40" s="121" t="s">
        <v>808</v>
      </c>
      <c r="P40" s="121" t="s">
        <v>800</v>
      </c>
      <c r="Q40" s="111">
        <v>33196500</v>
      </c>
      <c r="R40" s="111">
        <v>1350000</v>
      </c>
      <c r="S40" s="433" t="s">
        <v>15</v>
      </c>
      <c r="T40" s="433" t="s">
        <v>1292</v>
      </c>
      <c r="U40" s="121" t="s">
        <v>1554</v>
      </c>
      <c r="V40" s="108"/>
      <c r="W40" s="108"/>
      <c r="X40" s="108"/>
      <c r="Y40" s="108"/>
      <c r="Z40" s="108"/>
      <c r="AA40" s="111">
        <v>33196500</v>
      </c>
      <c r="AB40" s="108"/>
    </row>
    <row r="41" spans="1:28" x14ac:dyDescent="0.3">
      <c r="A41" s="391">
        <v>24.725000000000001</v>
      </c>
      <c r="B41" s="125">
        <v>-22684.929828109201</v>
      </c>
      <c r="C41" s="126">
        <v>-22684.93</v>
      </c>
      <c r="D41" s="435" t="s">
        <v>808</v>
      </c>
      <c r="E41" s="432" t="s">
        <v>853</v>
      </c>
      <c r="F41" s="434">
        <v>-560884.89</v>
      </c>
      <c r="G41" s="434">
        <v>-22684.93</v>
      </c>
      <c r="H41" s="432" t="s">
        <v>15</v>
      </c>
      <c r="I41" s="432" t="s">
        <v>874</v>
      </c>
      <c r="J41" s="121" t="s">
        <v>1568</v>
      </c>
      <c r="K41" s="433" t="s">
        <v>866</v>
      </c>
      <c r="L41" s="121" t="s">
        <v>1569</v>
      </c>
      <c r="M41" s="121" t="s">
        <v>1326</v>
      </c>
      <c r="N41" s="108"/>
      <c r="O41" s="121" t="s">
        <v>800</v>
      </c>
      <c r="P41" s="121" t="s">
        <v>808</v>
      </c>
      <c r="Q41" s="111">
        <v>560884.89</v>
      </c>
      <c r="R41" s="111">
        <v>22684.93</v>
      </c>
      <c r="S41" s="433" t="s">
        <v>15</v>
      </c>
      <c r="T41" s="433" t="s">
        <v>1142</v>
      </c>
      <c r="U41" s="108"/>
      <c r="V41" s="108"/>
      <c r="W41" s="108"/>
      <c r="X41" s="108"/>
      <c r="Y41" s="108"/>
      <c r="Z41" s="108"/>
      <c r="AA41" s="108"/>
      <c r="AB41" s="111">
        <v>560884.89</v>
      </c>
    </row>
    <row r="42" spans="1:28" x14ac:dyDescent="0.3">
      <c r="A42" s="391">
        <v>24.725000000000001</v>
      </c>
      <c r="B42" s="125">
        <v>127499.99999999999</v>
      </c>
      <c r="C42" s="126">
        <v>127500</v>
      </c>
      <c r="D42" s="435" t="s">
        <v>808</v>
      </c>
      <c r="E42" s="432" t="s">
        <v>855</v>
      </c>
      <c r="F42" s="434">
        <v>3152437.5</v>
      </c>
      <c r="G42" s="434">
        <v>127500</v>
      </c>
      <c r="H42" s="432" t="s">
        <v>15</v>
      </c>
      <c r="I42" s="432" t="s">
        <v>874</v>
      </c>
      <c r="J42" s="121" t="s">
        <v>1570</v>
      </c>
      <c r="K42" s="433" t="s">
        <v>865</v>
      </c>
      <c r="L42" s="121" t="s">
        <v>1573</v>
      </c>
      <c r="M42" s="121" t="s">
        <v>1443</v>
      </c>
      <c r="N42" s="108"/>
      <c r="O42" s="121" t="s">
        <v>808</v>
      </c>
      <c r="P42" s="121" t="s">
        <v>772</v>
      </c>
      <c r="Q42" s="111">
        <v>3152437.5</v>
      </c>
      <c r="R42" s="111">
        <v>127500</v>
      </c>
      <c r="S42" s="433" t="s">
        <v>15</v>
      </c>
      <c r="T42" s="433" t="s">
        <v>1142</v>
      </c>
      <c r="U42" s="121" t="s">
        <v>1560</v>
      </c>
      <c r="V42" s="108"/>
      <c r="W42" s="108"/>
      <c r="X42" s="108"/>
      <c r="Y42" s="108"/>
      <c r="Z42" s="108"/>
      <c r="AA42" s="111">
        <v>3152437.5</v>
      </c>
      <c r="AB42" s="108"/>
    </row>
    <row r="44" spans="1:28" x14ac:dyDescent="0.3">
      <c r="C44" s="65">
        <f>SUM(C2:C43)</f>
        <v>83157.539999999979</v>
      </c>
    </row>
  </sheetData>
  <autoFilter ref="A1:AB42" xr:uid="{2E8C92CE-7325-4C8D-A662-6C4E00BFECF5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TB IFRS</vt:lpstr>
      <vt:lpstr>jb IFRS</vt:lpstr>
      <vt:lpstr>TB CAS</vt:lpstr>
      <vt:lpstr>jb CAS</vt:lpstr>
      <vt:lpstr>pomocné =&gt;</vt:lpstr>
      <vt:lpstr>067</vt:lpstr>
      <vt:lpstr>půjčka výpočet</vt:lpstr>
      <vt:lpstr>473-SB</vt:lpstr>
      <vt:lpstr>379000</vt:lpstr>
      <vt:lpstr>dppo</vt:lpstr>
      <vt:lpstr>389</vt:lpstr>
      <vt:lpstr>přecenění IFRS</vt:lpstr>
      <vt:lpstr>přecenění CAS</vt:lpstr>
      <vt:lpstr>ČR CAS</vt:lpstr>
      <vt:lpstr>SOCI</vt:lpstr>
      <vt:lpstr>SOFP</vt:lpstr>
      <vt:lpstr>SOCE</vt:lpstr>
      <vt:lpstr>CF</vt:lpstr>
      <vt:lpstr>příloha</vt:lpstr>
      <vt:lpstr>sml.PT_výpočet</vt:lpstr>
      <vt:lpstr>kurzy ČNB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Černohubá Lenka, TACOMA</dc:creator>
  <cp:lastModifiedBy>Černohubá Lenka, RSM CZ</cp:lastModifiedBy>
  <cp:lastPrinted>2022-03-10T12:24:53Z</cp:lastPrinted>
  <dcterms:created xsi:type="dcterms:W3CDTF">2019-09-23T12:20:13Z</dcterms:created>
  <dcterms:modified xsi:type="dcterms:W3CDTF">2024-09-29T07:20:31Z</dcterms:modified>
</cp:coreProperties>
</file>